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firstSheet="1" activeTab="1"/>
  </bookViews>
  <sheets>
    <sheet name="TAB_ nr 2a_wyd. majątkowe" sheetId="1" state="hidden" r:id="rId1"/>
    <sheet name="Zał_ nr 1 _przychody i rozchody" sheetId="2" r:id="rId2"/>
    <sheet name="Zał nr 5_alkohol" sheetId="3" state="hidden" r:id="rId3"/>
    <sheet name="MAT INF_dochody" sheetId="4" state="hidden" r:id="rId4"/>
    <sheet name="MAT INF WYDATKI wg _jedn organ" sheetId="5" state="hidden" r:id="rId5"/>
    <sheet name="UM" sheetId="6" state="hidden" r:id="rId6"/>
    <sheet name="Zał 7_dotacje" sheetId="7" state="hidden" r:id="rId7"/>
    <sheet name="DANE ZBIORCZE" sheetId="8" state="hidden" r:id="rId8"/>
    <sheet name="POMOC" sheetId="9" state="hidden" r:id="rId9"/>
  </sheets>
  <definedNames/>
  <calcPr fullCalcOnLoad="1"/>
</workbook>
</file>

<file path=xl/sharedStrings.xml><?xml version="1.0" encoding="utf-8"?>
<sst xmlns="http://schemas.openxmlformats.org/spreadsheetml/2006/main" count="2041" uniqueCount="912">
  <si>
    <t>Dochody z tytułu wydawania zezwoleń na sprzedaż napojów alkoholowych oraz wydatki na realizację zadań określonych w Gminnym Programie Profilaktyki i Rozwiązywania Problemów Alkoholowych i w Gminnym Programie Przeciwdziałania Narkomanii w 2011 roku</t>
  </si>
  <si>
    <t>§ 991</t>
  </si>
  <si>
    <t>Lokaty</t>
  </si>
  <si>
    <r>
      <t xml:space="preserve">Fundusz zdrowotny </t>
    </r>
    <r>
      <rPr>
        <sz val="8"/>
        <color indexed="10"/>
        <rFont val="Times New Roman CE"/>
        <family val="0"/>
      </rPr>
      <t xml:space="preserve">(ze szkół, brak ZSP2) </t>
    </r>
    <r>
      <rPr>
        <sz val="8"/>
        <rFont val="Times New Roman CE"/>
        <family val="0"/>
      </rPr>
      <t>WESS 0,3% od wynagrodzeń zasadniczych nauczycieli czynnych</t>
    </r>
  </si>
  <si>
    <r>
      <t xml:space="preserve">plan finansowy MZPZOZ -dotacja </t>
    </r>
    <r>
      <rPr>
        <sz val="8"/>
        <color indexed="10"/>
        <rFont val="Times New Roman CE"/>
        <family val="0"/>
      </rPr>
      <t>24.000 z</t>
    </r>
    <r>
      <rPr>
        <sz val="8"/>
        <rFont val="Times New Roman CE"/>
        <family val="1"/>
      </rPr>
      <t>ł WESS-55.000</t>
    </r>
  </si>
  <si>
    <t>przeniesiono do OPS</t>
  </si>
  <si>
    <t>WESS połączono 80195 i 85195</t>
  </si>
  <si>
    <r>
      <t xml:space="preserve">WESS </t>
    </r>
    <r>
      <rPr>
        <sz val="8"/>
        <color indexed="10"/>
        <rFont val="Times New Roman CE"/>
        <family val="0"/>
      </rPr>
      <t>podał bez rozbicia na paragrafy</t>
    </r>
  </si>
  <si>
    <t>WESS, w tym sport kwalifikowany105.000 zł, konkurs ofert -55.000 zł</t>
  </si>
  <si>
    <r>
      <t xml:space="preserve">Dotacja celowa na </t>
    </r>
    <r>
      <rPr>
        <sz val="8"/>
        <color indexed="14"/>
        <rFont val="Times New Roman CE"/>
        <family val="1"/>
      </rPr>
      <t>pomoc finansową</t>
    </r>
    <r>
      <rPr>
        <sz val="8"/>
        <rFont val="Times New Roman CE"/>
        <family val="1"/>
      </rPr>
      <t xml:space="preserve"> udzielaną między j.s.t. na dofinansowanie własnych zadań inwestycyjnych i zakupów inwestycyjnych - Budowa chodnika w ul. Poniatowskiego wraz z modernizacją mostu na rzece Długiej</t>
    </r>
  </si>
  <si>
    <t>WESS zwiększenie liczby dzieci UM Wołomin 316.235 zł</t>
  </si>
  <si>
    <r>
      <t>WI</t>
    </r>
    <r>
      <rPr>
        <sz val="8"/>
        <rFont val="Times New Roman CE"/>
        <family val="1"/>
      </rPr>
      <t xml:space="preserve">- ocieplenie i elewacja budynku Wołomińska 3, </t>
    </r>
    <r>
      <rPr>
        <sz val="8"/>
        <color indexed="10"/>
        <rFont val="Times New Roman CE"/>
        <family val="0"/>
      </rPr>
      <t>paragraf czy to nie inwestycja ?</t>
    </r>
  </si>
  <si>
    <t>WI-ścieki</t>
  </si>
  <si>
    <t>rezerwy celowe do 5% wydatków; 2009-707.000, 2010-100.000 , uwzględniono podwyżki od IX 2011 roku ,dodano 30.000 ( 3*10.000=30.000 lato w mieście) zdjeto 2.716 zdjęto 25.000</t>
  </si>
  <si>
    <t>WP zad KONTYNUOWANE</t>
  </si>
  <si>
    <t>WP KONTYNUOWANE</t>
  </si>
  <si>
    <t>KADRY -70.000, WESS-95.000</t>
  </si>
  <si>
    <t>Załącznik nr 1</t>
  </si>
  <si>
    <t>kredyty
pożyczki obligacje</t>
  </si>
  <si>
    <t>MAJĄTKOWE razem:</t>
  </si>
  <si>
    <t>WI - wywóz  nieczystości, usługi kominiarskie</t>
  </si>
  <si>
    <t>Edukacyjna opieka wychowawcza - organizacja wypoczynku letniego w formach wyjazdowych</t>
  </si>
  <si>
    <t>Przeciwdziałanie uzależnieniom i patologiom społecznym</t>
  </si>
  <si>
    <t xml:space="preserve">Dotacja celowa z budżetu na finansowanie lub dofinansowanie zadań zleconych do realizacji fundacjom </t>
  </si>
  <si>
    <t xml:space="preserve">URZĄD </t>
  </si>
  <si>
    <r>
      <t>AT</t>
    </r>
    <r>
      <rPr>
        <sz val="8"/>
        <rFont val="Times New Roman CE"/>
        <family val="0"/>
      </rPr>
      <t xml:space="preserve">-w 2010 r.ubezpieczenia budynków UM i sprzętu elektronicznego - 2.700 zł , Związek Miast Polskich w 2010-  4.055 zł, Polskie Stow. Beneficjentów Fund. Pomocowych w 2010 r. -2.000 zł, </t>
    </r>
    <r>
      <rPr>
        <b/>
        <sz val="8"/>
        <rFont val="Times New Roman CE"/>
        <family val="0"/>
      </rPr>
      <t>propozycja AT-10.000 zł</t>
    </r>
  </si>
  <si>
    <r>
      <t xml:space="preserve">AT- wykonanie do X.2010 -4.100 zł, </t>
    </r>
    <r>
      <rPr>
        <b/>
        <sz val="8"/>
        <rFont val="Times New Roman CE"/>
        <family val="0"/>
      </rPr>
      <t>propozycja AT-5.000 zł</t>
    </r>
  </si>
  <si>
    <r>
      <t xml:space="preserve">KADRY-40.000 zł </t>
    </r>
    <r>
      <rPr>
        <sz val="8"/>
        <rFont val="Times New Roman CE"/>
        <family val="1"/>
      </rPr>
      <t>(WOW-4.000 zł,WGP-10.000 zł, WI-5.000 zł), wykonanie 22.10.10 -27.750 zł, ZAWYŻONE ?</t>
    </r>
  </si>
  <si>
    <r>
      <t xml:space="preserve">Dotacja celowa na </t>
    </r>
    <r>
      <rPr>
        <sz val="8"/>
        <color indexed="14"/>
        <rFont val="Times New Roman CE"/>
        <family val="1"/>
      </rPr>
      <t>pomoc finansową</t>
    </r>
    <r>
      <rPr>
        <sz val="8"/>
        <rFont val="Times New Roman CE"/>
        <family val="1"/>
      </rPr>
      <t xml:space="preserve"> udzielaną między j.s.t. na dofinansowanie własnych zadań inwestycyjnych i zakupów inwestycyjnych (w 2010 r. był zakup samochodu )</t>
    </r>
  </si>
  <si>
    <t>OSP (remont pomieszczeń, naprawa pojazdów i sprzętu strażackiego, wydatek na 30.09.2010- 10.500 zł)</t>
  </si>
  <si>
    <t>OSP - en. elekt. - 6.000 zł, gaz -25.000 zł; woda 1.000 zł, Wydatek na 22.10.2010- 17.650 zł</t>
  </si>
  <si>
    <t>OSP (wywóz nieczystości) Wydatek na 313.10.2101- 2.600 zł</t>
  </si>
  <si>
    <t>OSP -6.000 zł, ubezpieczenia samochodów i strażaków -wykonanie 30.09.2010 -2.213 zł</t>
  </si>
  <si>
    <t>Mcz-3.100 zł,  dodano par. 4750</t>
  </si>
  <si>
    <t>Z dotacji</t>
  </si>
  <si>
    <t>rezerwa ogólna od 0,1% do 1% wydatków; 2009-270.000, 2010-200.000  JAKA PROPOZYCJA BURMISTRZA?</t>
  </si>
  <si>
    <t>JAKA PROPOZYCJA BURMISTRZA?</t>
  </si>
  <si>
    <r>
      <t xml:space="preserve">propozycja AT, </t>
    </r>
    <r>
      <rPr>
        <sz val="8"/>
        <rFont val="Times New Roman CE"/>
        <family val="0"/>
      </rPr>
      <t>wykonanie 30.09.10- 3.910 zł</t>
    </r>
  </si>
  <si>
    <r>
      <t>WESS</t>
    </r>
    <r>
      <rPr>
        <sz val="8"/>
        <color indexed="10"/>
        <rFont val="Times New Roman CE"/>
        <family val="1"/>
      </rPr>
      <t xml:space="preserve"> </t>
    </r>
    <r>
      <rPr>
        <sz val="8"/>
        <rFont val="Times New Roman CE"/>
        <family val="0"/>
      </rPr>
      <t>liczba dzieci 126,</t>
    </r>
    <r>
      <rPr>
        <sz val="8"/>
        <color indexed="10"/>
        <rFont val="Times New Roman CE"/>
        <family val="1"/>
      </rPr>
      <t xml:space="preserve">  </t>
    </r>
  </si>
  <si>
    <r>
      <t>WESS</t>
    </r>
    <r>
      <rPr>
        <sz val="8"/>
        <color indexed="10"/>
        <rFont val="Times New Roman CE"/>
        <family val="1"/>
      </rPr>
      <t xml:space="preserve"> </t>
    </r>
    <r>
      <rPr>
        <sz val="8"/>
        <rFont val="Times New Roman CE"/>
        <family val="0"/>
      </rPr>
      <t>liczba dzieci 25,</t>
    </r>
    <r>
      <rPr>
        <sz val="8"/>
        <color indexed="10"/>
        <rFont val="Times New Roman CE"/>
        <family val="1"/>
      </rPr>
      <t xml:space="preserve"> </t>
    </r>
  </si>
  <si>
    <r>
      <t>WESS</t>
    </r>
    <r>
      <rPr>
        <sz val="8"/>
        <color indexed="10"/>
        <rFont val="Times New Roman CE"/>
        <family val="1"/>
      </rPr>
      <t xml:space="preserve"> </t>
    </r>
    <r>
      <rPr>
        <sz val="8"/>
        <rFont val="Times New Roman CE"/>
        <family val="0"/>
      </rPr>
      <t xml:space="preserve">zwiększenie liczby dzieci - liczba dzieci 107,  </t>
    </r>
  </si>
  <si>
    <t xml:space="preserve">WESS -140.000 zł, </t>
  </si>
  <si>
    <r>
      <t>jest pismo ze Starostwa o dofinansowanie bez kwoty</t>
    </r>
    <r>
      <rPr>
        <sz val="8"/>
        <rFont val="Times New Roman CE"/>
        <family val="1"/>
      </rPr>
      <t xml:space="preserve">  - wstawiono 10.000 zł, </t>
    </r>
    <r>
      <rPr>
        <sz val="8"/>
        <color indexed="10"/>
        <rFont val="Times New Roman CE"/>
        <family val="1"/>
      </rPr>
      <t>JAKA PROPOZYCJA BURMISTRZA?</t>
    </r>
  </si>
  <si>
    <r>
      <t>jest pismo ze Starostwa o dofinansowanie bez kwoty</t>
    </r>
    <r>
      <rPr>
        <sz val="8"/>
        <rFont val="Times New Roman CE"/>
        <family val="1"/>
      </rPr>
      <t xml:space="preserve">  - </t>
    </r>
    <r>
      <rPr>
        <sz val="8"/>
        <color indexed="10"/>
        <rFont val="Times New Roman CE"/>
        <family val="1"/>
      </rPr>
      <t>wstawiono 5.000 zł, w 2008- wyk. 4110 zł, JAKA PROPOZYCJA BURMISTRZA?</t>
    </r>
  </si>
  <si>
    <t>w 2010 r. były umowy o dzieło opracowanie planu likwidacji żeremii bobrów</t>
  </si>
  <si>
    <r>
      <t xml:space="preserve">Wydatki inwestycyjne jednostek budżetowych - </t>
    </r>
    <r>
      <rPr>
        <b/>
        <sz val="8"/>
        <rFont val="Times New Roman CE"/>
        <family val="0"/>
      </rPr>
      <t>kanalizacja deszczowa</t>
    </r>
  </si>
  <si>
    <r>
      <t xml:space="preserve">Wydatki inwestycyjne jednostek budżetowych - </t>
    </r>
    <r>
      <rPr>
        <b/>
        <sz val="8"/>
        <rFont val="Times New Roman CE"/>
        <family val="0"/>
      </rPr>
      <t>kanalizacja deszczowa</t>
    </r>
    <r>
      <rPr>
        <sz val="8"/>
        <rFont val="Times New Roman CE"/>
        <family val="1"/>
      </rPr>
      <t xml:space="preserve"> Budowa przepustu na rowie D pod ul. Rataja -środki własne</t>
    </r>
  </si>
  <si>
    <r>
      <t xml:space="preserve">Wydatki inwestycyjne jednostek budżetowych - </t>
    </r>
    <r>
      <rPr>
        <b/>
        <sz val="8"/>
        <rFont val="Times New Roman CE"/>
        <family val="0"/>
      </rPr>
      <t>kanalizacja deszczowa</t>
    </r>
    <r>
      <rPr>
        <sz val="8"/>
        <rFont val="Times New Roman CE"/>
        <family val="1"/>
      </rPr>
      <t xml:space="preserve"> Budowa kanalizacji deszczowej w ul. Dojazdowej</t>
    </r>
  </si>
  <si>
    <r>
      <t xml:space="preserve">Wydatki inwestycyjne jednostek budżetowych - </t>
    </r>
    <r>
      <rPr>
        <b/>
        <sz val="8"/>
        <rFont val="Times New Roman CE"/>
        <family val="0"/>
      </rPr>
      <t xml:space="preserve">kanalizacja deszczowa </t>
    </r>
    <r>
      <rPr>
        <sz val="8"/>
        <rFont val="Times New Roman CE"/>
        <family val="1"/>
      </rPr>
      <t>Budowa kanalizacji deszczowej w ul. 11 Listopada</t>
    </r>
  </si>
  <si>
    <t>WI- naprawy samochodu Wydatek do 30.09.2010 r.- 3.441 zł</t>
  </si>
  <si>
    <t xml:space="preserve">wpływy z różnych dochodów </t>
  </si>
  <si>
    <t>Pozostała działalność</t>
  </si>
  <si>
    <t>2) Dochody z opłat za  wydawanie zezwoleń na sprzedaż alkoholu</t>
  </si>
  <si>
    <t>Urzędy naczelnych organów władzy państwowej, kontroli i ochrony prawa</t>
  </si>
  <si>
    <t>Ochotnicze straże pożarne</t>
  </si>
  <si>
    <t>2710</t>
  </si>
  <si>
    <t>wpływy z tytułu pomocy finansowej udzielanej między jednostkami samorządu terytorialnego na dofinansowanie własnych zadań bieżących</t>
  </si>
  <si>
    <t>Obrona cywilna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</si>
  <si>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</si>
  <si>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</si>
  <si>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</si>
  <si>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</si>
  <si>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 xml:space="preserve">Wpłaty jednostek na fundusz celowy </t>
  </si>
  <si>
    <t>OSP- 4.000 zł, wydatek w 30.09.2010 r. -1.750 zł, propozycja AT uzgodniona z Ulą -2.900 zł</t>
  </si>
  <si>
    <t>brak propozycji stanowiska ds. promocji  JAKA PROPOZYCJA BURMISTRZA?</t>
  </si>
  <si>
    <t>WOI (ustaliła E.Z z sekretarzem)</t>
  </si>
  <si>
    <t>Wydatek wynikający z URM XXXVII/371/09 z 27.10.2009 r. ostatnia rata</t>
  </si>
  <si>
    <t>wydatki bieżące</t>
  </si>
  <si>
    <t>Dochody, w tym</t>
  </si>
  <si>
    <t>dochody bieżące</t>
  </si>
  <si>
    <t>dochody majątkowe</t>
  </si>
  <si>
    <t>wydatki majątkowe</t>
  </si>
  <si>
    <t>Art. 242 ufp</t>
  </si>
  <si>
    <t>różnica</t>
  </si>
  <si>
    <t>nadwyżka budżetowa i wolne środki</t>
  </si>
  <si>
    <r>
      <t xml:space="preserve">OD 2011 ROKU WYDATKI BIEŻĄCE </t>
    </r>
    <r>
      <rPr>
        <b/>
        <u val="single"/>
        <sz val="10"/>
        <rFont val="Times New Roman CE"/>
        <family val="0"/>
      </rPr>
      <t>MUSZĄ BYĆ NIŻSZE</t>
    </r>
    <r>
      <rPr>
        <b/>
        <sz val="10"/>
        <rFont val="Times New Roman CE"/>
        <family val="0"/>
      </rPr>
      <t xml:space="preserve"> NIŻ DOCHODY BIEŻĄCE POWIĘKSZONE O NADWYŻKĘ BUDŻETOWĄ Z LAT UBIEGŁYCH I WOLNE ŚRODKI</t>
    </r>
  </si>
  <si>
    <t>DOCHODY</t>
  </si>
  <si>
    <t>%</t>
  </si>
  <si>
    <t>Art. 170 starej ufp</t>
  </si>
  <si>
    <t>ZADŁUŻENIE NA KONIEC ROKU</t>
  </si>
  <si>
    <t xml:space="preserve">OSP- 800 zł, </t>
  </si>
  <si>
    <t>WOW -20.000 zł, AT- wg wykonania 21010 r. ok. 6.000 zł, propozycja AT uzgodniona z Ulą -7.000 zł</t>
  </si>
  <si>
    <t>WOW-40.000 zł, AT- wg wykonia za 2010 r. ok. 22.000 zł, propozycja AT uzgodniona z Ulą -30.000 zł</t>
  </si>
  <si>
    <t>wpływy z tytułu przekształcenia prawa użytkowania wieczystego przysługującego osobom fizycznym w prawo własności</t>
  </si>
  <si>
    <t xml:space="preserve">subwencje ogólne z budżetu państwa </t>
  </si>
  <si>
    <t xml:space="preserve">dotacje celowe otrzymane z budżetu państwa na realizację własnych zadań bieżących gmin </t>
  </si>
  <si>
    <t>E.B.</t>
  </si>
  <si>
    <t>dotacja  z budżetu państwa na prowadzenie i aktualizację stałego rejestru wyborców w Gminie</t>
  </si>
  <si>
    <t>Zakup usług obejmujących wykonanie ekspertyz, analiz i opinii</t>
  </si>
  <si>
    <t>750</t>
  </si>
  <si>
    <t>4010/z</t>
  </si>
  <si>
    <t>Wynagrodzenia osobowe pracowników</t>
  </si>
  <si>
    <t>4110/z</t>
  </si>
  <si>
    <t>Składki na ubezpieczenia społeczne</t>
  </si>
  <si>
    <t>4120/z</t>
  </si>
  <si>
    <t>Składki na Fundusz Pracy</t>
  </si>
  <si>
    <t xml:space="preserve">razem </t>
  </si>
  <si>
    <t>Różne wydatki na rzecz osób fizycznych</t>
  </si>
  <si>
    <t>WOW</t>
  </si>
  <si>
    <t>Zakup usług remontowych - serwis urządzeń biurowych</t>
  </si>
  <si>
    <t>kredyty</t>
  </si>
  <si>
    <t>aktualna prognoza 9.08.2011</t>
  </si>
  <si>
    <t>Podróże służbowe krajowe</t>
  </si>
  <si>
    <t>Szkolenia pracowników niebędących członkami korpusu służby cywilnej</t>
  </si>
  <si>
    <t>Zakup materiałów papierniczych do sprzętu drukarskiego i urządzeń kserograficznych</t>
  </si>
  <si>
    <t>a) dochody (dotacje) na realizację zadań z zakresu administracji rządowej i innych zleconych gminie ustawami</t>
  </si>
  <si>
    <t>d) dochody (dotacje) na realizację zadań finansowanych ze środków pochodzących z budżetu Unii Europejskiej</t>
  </si>
  <si>
    <t>e) dochody (dotacje)  z budżetu państwa na zadania własne</t>
  </si>
  <si>
    <t>WI- utylizacja azbestu, odpady niebezpieczne</t>
  </si>
  <si>
    <t>WI częściowo refundowane</t>
  </si>
  <si>
    <t>WI- wykonanie koncepcji kanalizacji deszczowej, pozwolenia wodnoprawne, zlecenia dla projektanta (wydawanie warunków -30.000 ZSN), inne</t>
  </si>
  <si>
    <t>WI- dla przepompowni ścieków</t>
  </si>
  <si>
    <t>dotacje celowe otrzymane z gminy na zadania bieżące realizowane na podstawie porozumień (umów) między jednostkami samorządu terytorialnego</t>
  </si>
  <si>
    <t>Gimnazja</t>
  </si>
  <si>
    <t>Przeciwdziałanie alkoholizmowi</t>
  </si>
  <si>
    <t>dotacje celowe z budżetu państwa na realizację zadań bieżących z zakresu administracji rządowej oraz innych zadań zleconych gminie ustawami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</si>
  <si>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</si>
  <si>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</si>
  <si>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</si>
  <si>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</si>
  <si>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Pomoc materialna dla uczniów</t>
  </si>
  <si>
    <t>Gospodarka ściekowa i ochrona wód</t>
  </si>
  <si>
    <t>wpływ z różnych opłat</t>
  </si>
  <si>
    <t>dotacje celowe z budżetu państwa na zadania własne</t>
  </si>
  <si>
    <t>% udziału w planie</t>
  </si>
  <si>
    <t>OGÓŁEM</t>
  </si>
  <si>
    <t>Świadczenia na rzecz osób fizycznych</t>
  </si>
  <si>
    <t>Dotacja celowa przekazana do samorządu województwa na inwestycje i zakupy inwestycyjne realizowane na podstawie porozumień (umów) między j.s.t. - na realizację programu pn.: „Przyspieszenie wzrostu konkurencyjności województwa mazowieckiego, przez budowanie społeczeństwa informacyjnego i gospodarki opartej na wiedzy poprzez stworzenie zintegrowanych baz wiedzy o Mazowszu”</t>
  </si>
  <si>
    <t>Z DOTACJI</t>
  </si>
  <si>
    <r>
      <t>WOI</t>
    </r>
    <r>
      <rPr>
        <sz val="8"/>
        <rFont val="Times New Roman CE"/>
        <family val="1"/>
      </rPr>
      <t xml:space="preserve"> - serwis oprogramowania -19.740, koszty wdrożenia ZMOKU -7.320</t>
    </r>
  </si>
  <si>
    <t>WOI -15,19%</t>
  </si>
  <si>
    <t>Wytwarzanie i zaopatrywanie w energię elektryczną, gaz i wodę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</si>
  <si>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</si>
  <si>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</si>
  <si>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</si>
  <si>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</si>
  <si>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</si>
  <si>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BL</t>
  </si>
  <si>
    <t>AP-85.000 zł, WGP-45.000 zł, wyk do 30.09 86.272zł</t>
  </si>
  <si>
    <t>WGP- nie potrafi określić</t>
  </si>
  <si>
    <t>KADRY</t>
  </si>
  <si>
    <r>
      <t xml:space="preserve">KADRY- </t>
    </r>
    <r>
      <rPr>
        <sz val="8"/>
        <rFont val="Times New Roman CE"/>
        <family val="0"/>
      </rPr>
      <t>dofinansowanie studia</t>
    </r>
  </si>
  <si>
    <t>Mcz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</si>
  <si>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</si>
  <si>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</si>
  <si>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</si>
  <si>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</si>
  <si>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</si>
  <si>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</si>
  <si>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</si>
  <si>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Z  PLANU  DOCHODÓW  OGÓŁEM  PRZYPADA NA:</t>
  </si>
  <si>
    <t>% dochodów</t>
  </si>
  <si>
    <t>Dochody majątkowe:</t>
  </si>
  <si>
    <t>dochody ze sprzedaży majątku</t>
  </si>
  <si>
    <t>dochody z tytułu przekształcenia prawa użytkowania wieczystego w prawo własności</t>
  </si>
  <si>
    <t>Dochody bieżące:</t>
  </si>
  <si>
    <t>udział gminy w podatkach stanowiących dochód budżetu państwa  (podatek dochodowy)</t>
  </si>
  <si>
    <t>wpływy z podatków</t>
  </si>
  <si>
    <t>wpływy z opłat (bez opłat za użytkowanie wieczyste)</t>
  </si>
  <si>
    <t>Doposażenie nowego samochodu ratowniczo-gaśniczego SCANIA dla OSP w Kobyłce</t>
  </si>
  <si>
    <t>dochody z majątku (dochody z dzierżawy, dochody z najmu lokali, opłaty za użytkowanie wieczyste )</t>
  </si>
  <si>
    <t>subwencje</t>
  </si>
  <si>
    <t>odsetki</t>
  </si>
  <si>
    <t>spadki, zapisy i darowizny w postaci pieniężnej na rzecz gminy</t>
  </si>
  <si>
    <t>dotacje celowe z budżetu państwa na zadania bieżące realizowane przez gminę na podstawie porozumień z organami administracji rządowej</t>
  </si>
  <si>
    <t>rekompensaty utraconych dochodów w podatkach i opłatach lokalnych</t>
  </si>
  <si>
    <t xml:space="preserve">Dodatkowe wynagrodzenie roczne </t>
  </si>
  <si>
    <t>Wpłaty na PFRON</t>
  </si>
  <si>
    <t>Zakup leków, wyrobów medycznych i produktów biobójczych</t>
  </si>
  <si>
    <t>Zakup usług zdrowotnych</t>
  </si>
  <si>
    <t>Zakup usług dostępu do sieci Internet</t>
  </si>
  <si>
    <t>Podróże służbowe zagraniczne</t>
  </si>
  <si>
    <t>Odpisy na zakładowy fundusz świadczeń socjalnych</t>
  </si>
  <si>
    <t>Koszty postępowania sądowego i prokuratorskiego</t>
  </si>
  <si>
    <t>Zakup akcesoriów komputerowych, w tym programów i licencji</t>
  </si>
  <si>
    <t>Dotacja celowa dla Starostwa Powiatu Wołomińskiego na pomoc finansową udzielaną między między jednostkami samorządu terytorialnego na dofinansowanie własnych zadań bieżących - wykonanie badań mammograficznych</t>
  </si>
  <si>
    <t>działających jako jednostki budżetowe na 2011 rok</t>
  </si>
  <si>
    <t>zmieniający załącznik nr 7</t>
  </si>
  <si>
    <t>Kredyty</t>
  </si>
  <si>
    <t>Pożyczki</t>
  </si>
  <si>
    <t>9.</t>
  </si>
  <si>
    <t>Zarządzanie kryzysowe - dotacja celowa na pomoc finansową udzielaną między j.s.t. na dofinansowanie własnych zadań inwestycyjnych i zakupów inwestycyjnych - pomoc finansowa dla Starostwa Powiatu Wołomińskiego na "Zakup pompy wysokowydajnej do celów przeciwpowodziowych na terenie Powiatu Wołomińskiego"</t>
  </si>
  <si>
    <t>Dotacja celowa na pomoc finansową udzielaną między j.s.t. na dofinansowanie własnych zadań inwestycyjnych i zakupów inwestycyjnych - pomoc finansowa dla Starostwa Powiatu Wołomińskiego na "Zakup pompy wysokowydajnej do celów przeciwpowodziowych na terenie Powiatu Wołomińskiego"</t>
  </si>
  <si>
    <t>Ochotnicza Straż Pożarna w Kobyłce</t>
  </si>
  <si>
    <t>Zaprojektowanie oraz budowa zatoki postojowej i przebudowa chodnika przy ul. Jana Pawła II</t>
  </si>
  <si>
    <t>Musi być mniejsze od 0</t>
  </si>
  <si>
    <r>
      <t xml:space="preserve">SPŁATA RAT KREDYTÓW I POŻYCZEK ORAZ ODSETEK </t>
    </r>
    <r>
      <rPr>
        <b/>
        <sz val="10"/>
        <color indexed="10"/>
        <rFont val="Times New Roman CE"/>
        <family val="0"/>
      </rPr>
      <t>NIE MOŻE PRZEKROCZYĆ 15% DOCHODÓW</t>
    </r>
  </si>
  <si>
    <r>
      <t xml:space="preserve">ZADŁUŻENIE NA KONIEC 2011 ROKU </t>
    </r>
    <r>
      <rPr>
        <b/>
        <sz val="10"/>
        <color indexed="10"/>
        <rFont val="Times New Roman CE"/>
        <family val="0"/>
      </rPr>
      <t>NIE MOŻE PRZEKROCZYĆ 60% DOCHODÓW</t>
    </r>
  </si>
  <si>
    <t>do zarządzenia Nr 146/10 Burmistrza Miasta Kobyłka z dnia 12 listopada 2010 r.</t>
  </si>
  <si>
    <t>WI - remonty chodników- 865.000, ulepszanie dróg gruntowych -260.000, remonty cząstkowe -150.000, nakładki - 200.000, równanie -200.000, wjazdy, regulacje kratek, remont kapitalny nawierzchni Kordeckiego</t>
  </si>
  <si>
    <t>Lokalny transport zbiorowy</t>
  </si>
  <si>
    <t>Drogi publiczne powiatowe</t>
  </si>
  <si>
    <t>Drogi publiczne gminne</t>
  </si>
  <si>
    <t>Modernizacja Miejskiego Ośrodka Kultury w Kobyłce w ramach projektu zmieniającego sposób użytkowania budynku (dot. m.in. zaleceń przeciwpożarowych)</t>
  </si>
  <si>
    <t>Rozwój przedsiębiorczości - dotacje celowe przekazane do samorządu województwa na inwestycje i zakupy inwestycyjne realizowane na podstawie porozumień (umów) między j.s.t. - na realizację projektu pn.: „Przyspieszenie wzrostu konkurencyjności województwa mazowieckiego, przez budowanie społeczeństwa informacyjnego i gospodarki opartej na wiedzy poprzez stworzenie zintegrowanych baz wiedzy o Mazowszu” (Program BW)</t>
  </si>
  <si>
    <t>Pozostała działalność - dotacje celowe przekazane do samorządu województwa na inwestycje i zakupy inwestycyjne realizowane na podstawie porozumień (umów) między j.s.t. - na realizację programu pn.: „Rozwój elektronicznej administracji w samorządach województwa mazowieckiego wspomagającej niwelowanie dwudzielności potencjału województwa” (Program EA)</t>
  </si>
  <si>
    <t>Wydatki inwestycyjne jednostek budżetowych -  Budowa parkingu, chodnika i drogi wewnętrznej przy ul. Kossaka w Kobyłce</t>
  </si>
  <si>
    <t>Wydatki inwestycyjne jednostek budżetowych - Budowa gminnego budynku wielorodzinnego przy ul. Prusa róg Koreckiego w Kobyłce</t>
  </si>
  <si>
    <t>WP -</t>
  </si>
  <si>
    <t xml:space="preserve">WP - </t>
  </si>
  <si>
    <t>* Wybrać odpowiednie oznaczenie źródła finansowania:</t>
  </si>
  <si>
    <t>A. Dotacje i środki z budżetu państwa (np. od wojewody, MEN, UKFiS, …)</t>
  </si>
  <si>
    <t>B. Środki i dotacje otrzymane od innych j.s.t. oraz innych jednostek zaliczanych do sektora finansów publicznych</t>
  </si>
  <si>
    <t xml:space="preserve">C. Inne źródła </t>
  </si>
  <si>
    <t>* * środki pochodzące z budżetu Unii Europejskiej oraz inne bezzwrotne środki zagraniczne</t>
  </si>
  <si>
    <t>Spis powszechny i inne</t>
  </si>
  <si>
    <t>Wybory Prezydenta Rzeczypospolitej Polskiej</t>
  </si>
  <si>
    <t>Pozostałe wydatki obronne</t>
  </si>
  <si>
    <t>Usuwanie skutków klęsk żywiołowych</t>
  </si>
  <si>
    <t>Obrona narodowa</t>
  </si>
  <si>
    <t>6260</t>
  </si>
  <si>
    <t>6330</t>
  </si>
  <si>
    <t>dotacje otrzymane z funduszy celowych na finansowanie lub dofinansowanie kosztów realizacji inwestycji i zakupów inwestycyjnych jednostek sektora finansów publicznych</t>
  </si>
  <si>
    <t>2007</t>
  </si>
  <si>
    <t>MATERIAŁY INFORMACYJNE</t>
  </si>
  <si>
    <t>Przedszkole Nr 2 (ZSP Nr 2)</t>
  </si>
  <si>
    <t>WESS -60.000 w tym:organizacja wypoczynku letniego dla dzieci i młodziezy, w tym z rodzin dysfunkcyjnych itd</t>
  </si>
  <si>
    <t>Wydatki inwestycyjne jednostek budżetowych - Uporządkowanie gospodarki wodno-ściekowej na terenie aglomeracji Wołomin - Kobyłka - budowa kanalizacji sanitarnej przy udziale Funduszu Spójności (środki własne)</t>
  </si>
  <si>
    <t>Wydatki inwestycyjne jednostek budżetowych -Uporządkowanie gospodarki wodno-ściekowej na terenie aglomeracji Wołomin - Kobyłka - budowa kanalizacji sanitarnej przy udziale Funduszu Spójności (pożyczki i kredyty)</t>
  </si>
  <si>
    <t>Rezerwy - REZERWA OGÓLNA</t>
  </si>
  <si>
    <t>pozostałe dochody własne (wpływy z różnych dochodów, wpływy z usług)</t>
  </si>
  <si>
    <t xml:space="preserve">WGP podziały nieruchomości </t>
  </si>
  <si>
    <t>Mazowiecki Urząd Wojewódzki</t>
  </si>
  <si>
    <t>% wzrostu planu              (kol. 6 : kol. 5)</t>
  </si>
  <si>
    <t>Dotacje na zadania bieżące</t>
  </si>
  <si>
    <t>Wydatki bieżące            (kol. 8+11+12+13+14+15)</t>
  </si>
  <si>
    <t>WP</t>
  </si>
  <si>
    <t>Wydatki inwestycyjne jednostek budżetowych -Budowa placu zabaw przy ZSP NR 1 w Kobyłce w ramach rządowego programu "Radosna Szkoła"- śr. własne</t>
  </si>
  <si>
    <t>Wydatki inwestycyjne jednostek budżetowych - Zagospodarowanie placu przed Miejskim Ośrodkiem Kultury w Kobyłce - (2010 r. - projekt)</t>
  </si>
  <si>
    <t>WP- zadanie przeniesione z 2010 na 2011 r.</t>
  </si>
  <si>
    <t>Wydatki inwestycyjne jednostek budżetowych - Zabudowa nadwozia lekkiego samochodu ratowniczo-gaśniczego dla OSP</t>
  </si>
  <si>
    <t>MUSI BYĆ 0</t>
  </si>
  <si>
    <t>RAZEM ODSETKI NA ZADANIE UNIJNE:</t>
  </si>
  <si>
    <t>co najmniej 0,5% wydatków bieżących minus wynagrodzenia i pochodne minus obsługa długu</t>
  </si>
  <si>
    <t>CAŁE ZADŁUŻENIE (NIE MA JUŻ WYŁĄCZEŃ) !</t>
  </si>
  <si>
    <t>KADRY-pobory -280.000*12=3.360.000 premie -95.000, f.nagród -100.800, nagrody jubileuszowe-56.000, odprawy-60.000, odjęto z rozdz.75011 -91.357 zł</t>
  </si>
  <si>
    <r>
      <t>Odsetki od samorządowych papierów wartościowych lub zaciągniętych przez j.s.t. kredytów i pożyczek,</t>
    </r>
    <r>
      <rPr>
        <b/>
        <sz val="8"/>
        <rFont val="Times New Roman CE"/>
        <family val="0"/>
      </rPr>
      <t xml:space="preserve"> w tym:</t>
    </r>
  </si>
  <si>
    <r>
      <t xml:space="preserve">odsetki od Kredytu PKO 25 mln na zadanie unijne - </t>
    </r>
    <r>
      <rPr>
        <i/>
        <sz val="9"/>
        <rFont val="Times New Roman CE"/>
        <family val="0"/>
      </rPr>
      <t>oprocentowanie WIBOR 3M -3,85% (5.11.2010 r.) prowizja 1,19% ,zwyżka oprocentowania 1 %, Razem 6,04% -dopłata z NFOŚiGW- 5 %</t>
    </r>
    <r>
      <rPr>
        <b/>
        <i/>
        <sz val="9"/>
        <rFont val="Times New Roman CE"/>
        <family val="0"/>
      </rPr>
      <t xml:space="preserve"> = 1,04% (dodałam za 2 dni września pełne oprocentowanie)</t>
    </r>
  </si>
  <si>
    <r>
      <t xml:space="preserve">odsetki od Kredytu BOŚ 12 mln na zadanie unijne - </t>
    </r>
    <r>
      <rPr>
        <b/>
        <i/>
        <sz val="9"/>
        <rFont val="Times New Roman CE"/>
        <family val="0"/>
      </rPr>
      <t>oprocentowanie stopa redyskonta weksli 3,75%</t>
    </r>
  </si>
  <si>
    <t xml:space="preserve">Dotacje celowe przekazane gminie na zadania bieżące realizowane na podstawie porozumień (umów) między j.s.t.- refundacja kosztów dotacji dla przedszkoli za uczniów będących mieszkańcami gminy Kobyłka </t>
  </si>
  <si>
    <t>WI- zabezpieczenie budynku Rumuńska 2</t>
  </si>
  <si>
    <t>Ochrona zbytków i opieka nad zabytkami</t>
  </si>
  <si>
    <t>Zakup usług remontowo-konserwatorskich dotyczących obiektów zabytkowych będących w użtkowaniu jednostek budżetowych</t>
  </si>
  <si>
    <t xml:space="preserve">WI-opłaty za umieszczenie urządzeń w drodze powiatowej </t>
  </si>
  <si>
    <r>
      <t>opłata adiacencka -</t>
    </r>
    <r>
      <rPr>
        <sz val="8"/>
        <color indexed="10"/>
        <rFont val="Times New Roman"/>
        <family val="1"/>
      </rPr>
      <t xml:space="preserve"> (AP. -30.000 , WGP -20.000);  </t>
    </r>
    <r>
      <rPr>
        <sz val="8"/>
        <rFont val="Times New Roman"/>
        <family val="1"/>
      </rPr>
      <t>renta planistyczna - (AP i WGP - 20.000 zł); zaj. pasa drogowego -(</t>
    </r>
    <r>
      <rPr>
        <sz val="8"/>
        <color indexed="10"/>
        <rFont val="Times New Roman"/>
        <family val="1"/>
      </rPr>
      <t>AP- 40.000 zł  WI-55.000zł</t>
    </r>
    <r>
      <rPr>
        <sz val="8"/>
        <rFont val="Times New Roman"/>
        <family val="1"/>
      </rPr>
      <t>)</t>
    </r>
  </si>
  <si>
    <r>
      <t xml:space="preserve">WI - opłaty za korzystanie ze środowiska (Urząd Marszałkowski) 24.000 zł, </t>
    </r>
    <r>
      <rPr>
        <sz val="8"/>
        <color indexed="10"/>
        <rFont val="Times New Roman"/>
        <family val="1"/>
      </rPr>
      <t>opłaty za usuwanie drzew ?</t>
    </r>
  </si>
  <si>
    <r>
      <t xml:space="preserve">WI- </t>
    </r>
    <r>
      <rPr>
        <sz val="8"/>
        <color indexed="10"/>
        <rFont val="Times New Roman"/>
        <family val="1"/>
      </rPr>
      <t xml:space="preserve">opłaty i kary za korzystanie ze środowiska-30.000 </t>
    </r>
  </si>
  <si>
    <r>
      <t>WI- ZIK</t>
    </r>
    <r>
      <rPr>
        <sz val="8"/>
        <rFont val="Times New Roman CE"/>
        <family val="1"/>
      </rPr>
      <t>- kanalizacja deszczowa -projekt odwodnienia skrzyżowania ul. Łokietka  z  ul. Kazimierza Wielkiego , projekt kan deszcz w ul. Borysów, Graniczna, Dąbrowkiego</t>
    </r>
  </si>
  <si>
    <r>
      <t xml:space="preserve">WI- akcja zima 200.000, </t>
    </r>
    <r>
      <rPr>
        <sz val="8"/>
        <color indexed="12"/>
        <rFont val="Times New Roman CE"/>
        <family val="0"/>
      </rPr>
      <t>oznakowanie poziome i pionowe 40.000, tablice z nazwami ulic 20.000, projekty organizacji ruchu, inne</t>
    </r>
  </si>
  <si>
    <t>Dotacja podmiotowa z budżetu dla niepublicznej jednostki systemu oświaty (Przedszkole Niepublicznego Nr 1 w Kobyłce "Konik na biegunach")</t>
  </si>
  <si>
    <t>Wydatki inwestycyjne jednostek budżetowych -Modernizacja placu zabaw przy ZSP NR 2 oraz urządzanie placu zabaw przy ZSP Nr 3 w Kobyłce w ramach rządowego programu "Radosna Szkoła"- śr. z dotacji</t>
  </si>
  <si>
    <t>BL-wynagrodzenie dla płatnika</t>
  </si>
  <si>
    <t>HU odsetki od FS od ścieków 0</t>
  </si>
  <si>
    <t>BO Z FOŚiGW</t>
  </si>
  <si>
    <t>sponsorzy Perła Baroku</t>
  </si>
  <si>
    <t>plan na 2011</t>
  </si>
  <si>
    <r>
      <t xml:space="preserve">Dotacja celowa na </t>
    </r>
    <r>
      <rPr>
        <sz val="8"/>
        <color indexed="14"/>
        <rFont val="Times New Roman CE"/>
        <family val="1"/>
      </rPr>
      <t>pomoc finansową</t>
    </r>
    <r>
      <rPr>
        <sz val="8"/>
        <rFont val="Times New Roman CE"/>
        <family val="1"/>
      </rPr>
      <t xml:space="preserve"> udzielaną między j.s.t. na dofinansowanie własnych zadań bieżących -mammografia</t>
    </r>
  </si>
  <si>
    <t>852</t>
  </si>
  <si>
    <t>Propozycje Wydziałów</t>
  </si>
  <si>
    <t>Wydatki inwestycyjne jednostek budżetowych</t>
  </si>
  <si>
    <t>Wydatki inwestycyjne jednostek budżetowych - współfinansowanie</t>
  </si>
  <si>
    <t>Wydatki na zakupy inwestycyjne jednostek budżetowych</t>
  </si>
  <si>
    <t>WYDATKI BIEŻĄCE</t>
  </si>
  <si>
    <t>RAZEM MAJĄTKOWE</t>
  </si>
  <si>
    <t>wzrost</t>
  </si>
  <si>
    <t>dochody z  dzierżawy lokali i gruntów oraz urządzeń wodociągowo-kanalizacyjnych</t>
  </si>
  <si>
    <t>0570</t>
  </si>
  <si>
    <t>0580</t>
  </si>
  <si>
    <t>grzywny i inne kary pieniężne od osób prawnych i innych jednostek organizacyjnych</t>
  </si>
  <si>
    <t>wpływy z różnych dochodów</t>
  </si>
  <si>
    <t>0760</t>
  </si>
  <si>
    <t>wpływy z opłat za zezwolenia na sprzedaż alkoholu</t>
  </si>
  <si>
    <t xml:space="preserve">dotacje celowe otrzymane z budżetu państwa na realizację inwestycji i zakupów inwestycyjnych własnych gmin </t>
  </si>
  <si>
    <t>grzywny, mandaty i inne kary pieniężne od osób fizycznych</t>
  </si>
  <si>
    <t xml:space="preserve">dotacja celowa z budżetu państwa na realizację własnych zadań bieżących gmin </t>
  </si>
  <si>
    <t>Wynik  budżetu (nadwyżka)</t>
  </si>
  <si>
    <t>z tego źródła finansowania:</t>
  </si>
  <si>
    <t>dochody własne</t>
  </si>
  <si>
    <t>inne</t>
  </si>
  <si>
    <t>Plan  wydatków</t>
  </si>
  <si>
    <t>podpisana umowa -3.303 zł -ostatnia wpłata/ AUTOPOPRAWKA pismo 7.905 zł (dodano 4.602 zł)</t>
  </si>
  <si>
    <t>podpisana umowa ,w 2012-5.820 zł;/ AUTOPOPRAWKA  8.591 zmniejszenie o 139 zł</t>
  </si>
  <si>
    <t xml:space="preserve">z tego  źródła finansowania: </t>
  </si>
  <si>
    <t>ART. 169 BEZ WYŁĄCZEŃ</t>
  </si>
  <si>
    <t>Wynagrodzenia i pochodne401,404,417, 411,4120</t>
  </si>
  <si>
    <t>S</t>
  </si>
  <si>
    <t>Treść</t>
  </si>
  <si>
    <t>Klasyfikacja
§</t>
  </si>
  <si>
    <t>1.</t>
  </si>
  <si>
    <t>Dochody</t>
  </si>
  <si>
    <t>2.</t>
  </si>
  <si>
    <t>Wydatki</t>
  </si>
  <si>
    <t>3.</t>
  </si>
  <si>
    <t>Przychody ogółem:</t>
  </si>
  <si>
    <t>§ 952</t>
  </si>
  <si>
    <t>§ 903</t>
  </si>
  <si>
    <t>NADWYŻKA/DEFICYT</t>
  </si>
  <si>
    <t>4.</t>
  </si>
  <si>
    <t>Spłaty pożyczek udzielonych</t>
  </si>
  <si>
    <t>§ 951</t>
  </si>
  <si>
    <t>Świadczenia rodzinne, świadczenie z funduszu alimentacyjnego oraz składki na ubezpieczenia emerytalne i rentowe z ubezpieczenia społecznego</t>
  </si>
  <si>
    <t>z dotacji</t>
  </si>
  <si>
    <t>5.11.10</t>
  </si>
  <si>
    <t>dotacje celowe otrzymane z budżetu państwa na realizację własnych zadań bieżących gmin  - dofinansowanie realizacji programu wieloletniego "Pomoc państwa w zakresie dożywiania"</t>
  </si>
  <si>
    <t>dotacje celowe otrzymane z budżetu państwa na realizację własnych zadań bieżących gmin (pomoc materialna dla uczniów o charakterze socjalnym, wyprawka dla uczniów)</t>
  </si>
  <si>
    <t>Kreatywna świetlica</t>
  </si>
  <si>
    <t>dodano</t>
  </si>
  <si>
    <t>zmieniający załącznik nr 1</t>
  </si>
  <si>
    <t>Dofinansowanie zakupu ciężkiego samochodu pożarniczego dla OSP w Kobyłce</t>
  </si>
  <si>
    <t>Dotacja celowa przekazana do samorządu województwa na inwestycje i zakupy inwestycyjne realizowane na podstawie porozumień (umów) między jednostkami samorządu terytorialnego - na realizację programu pn.: „Rozwój elektronicznej administracji w samorządach województwa mazowieckiego wspomagającej niwelowanie dwudzielności potencjału województwa”</t>
  </si>
  <si>
    <t>Zakup usług remontowych - konserwacja urządzeń kanalizacyjnych i wodnych</t>
  </si>
  <si>
    <t>Wydatki inwestycyjne jednostek budżetowych - Uporządkowanie gospodarki wodno-ściekowej na terenie aglomeracji Wołomin - Kobyłka - budowa kanalizacji sanitarnej przy udziale Funduszu Spójności  (środki własne na podatek VAT)</t>
  </si>
  <si>
    <t>Zakup usług pozostałych - utylizacja azbestu</t>
  </si>
  <si>
    <t>Zakup usług pozostałych - utylizacja azbestu (dotacja z powiatu)</t>
  </si>
  <si>
    <t>921</t>
  </si>
  <si>
    <t>Dotacja podmiotowa z budżetu dla samorządowej instytucji kultury - dotacja dla MOK</t>
  </si>
  <si>
    <t>Dotacja podmiotowa z budżetu dla samorządowej instytucji kultury - dotacja dla MBP</t>
  </si>
  <si>
    <t>kwota ustalona</t>
  </si>
  <si>
    <t>Dotacje celowe przekazane do samorządu województwa na inwestycje i zakupy inwestycyjne realizowane na podstawie porozumień (umów) między jednostkami samorządu terytorialnego ("Przyspieszenie wzrostu konkurencyjności województwa mazowieckiego, przez budowanie społeczeństwa informacyjnego i gospodarki opartej na wiedzy poprzez stworzenie zintegrowanych baz wiedzy o Mazowszu”)</t>
  </si>
  <si>
    <t>Dotacje celowe przekazane do samorządu województwa na inwestycje i zakupy inwestycyjne realizowane na podstawie porozumień (umów) między jednostkami samorządu terytorialnego („Rozwój elektronicznej administracji w samorządach województwa mazowieckiego wspomagającej niwelowanie dwudzielności potencjału województwa”)</t>
  </si>
  <si>
    <t>…</t>
  </si>
  <si>
    <t>Przedszkole nr 1</t>
  </si>
  <si>
    <t>ZSP NR 1</t>
  </si>
  <si>
    <t>RAZEM URZĄD MIASTA</t>
  </si>
  <si>
    <t>% wzrostu planu (kol. 7: kol. 5)</t>
  </si>
  <si>
    <t>ZSP NR 2</t>
  </si>
  <si>
    <t>PLAN MBP</t>
  </si>
  <si>
    <t>926</t>
  </si>
  <si>
    <t xml:space="preserve">RAZEM </t>
  </si>
  <si>
    <t>Oznaczenia paragrafów:</t>
  </si>
  <si>
    <t xml:space="preserve">/dw </t>
  </si>
  <si>
    <t xml:space="preserve"> - z dotacji na zadania własne</t>
  </si>
  <si>
    <t xml:space="preserve">/z  </t>
  </si>
  <si>
    <t xml:space="preserve"> - zadania zlecone</t>
  </si>
  <si>
    <t>Dotacje udzielane w 2011 roku z budżetu Miasta Kobyłka podmiotom należącym i nie należącym do sektora finansów publicznych</t>
  </si>
  <si>
    <t>AP.260.000zł - dzierżawa lokali i gruntów,  146.400- dierżawa urządzeń wod. Kan</t>
  </si>
  <si>
    <t>Wykonanie projektu budowy boiska, infrastruktury i zaplecza obiektów sportowych na terenie MKS Wicher Kobyłka wraz z realizacją</t>
  </si>
  <si>
    <t>dodano 70.000</t>
  </si>
  <si>
    <t>zmniejszono o 30.000</t>
  </si>
  <si>
    <t>dodano zadanie wtym 1 mln z dotacji</t>
  </si>
  <si>
    <t>dodano 30.000</t>
  </si>
  <si>
    <t>dodano 6.000 zł</t>
  </si>
  <si>
    <t>dodano 250.000</t>
  </si>
  <si>
    <t>dodano 341.503</t>
  </si>
  <si>
    <t xml:space="preserve"> - budowa kanalizacji deszczowej w ul. Dojazdowej</t>
  </si>
  <si>
    <t>Kanalizacja deszczowa (projekty odwodnień)</t>
  </si>
  <si>
    <t xml:space="preserve"> Plan wydatków majątkowych na 2011 rok  </t>
  </si>
  <si>
    <t>zmiany do układu wykonawczego</t>
  </si>
  <si>
    <r>
      <t>WP</t>
    </r>
    <r>
      <rPr>
        <sz val="8"/>
        <rFont val="Times New Roman CE"/>
        <family val="1"/>
      </rPr>
      <t xml:space="preserve"> -B. Śmiałego, Poziomkowa, Turowska, Ks. Zycha +projekty</t>
    </r>
  </si>
  <si>
    <t xml:space="preserve">WESS -20.000organizacja wypoczynku  letniego w formach wyjazdowych, </t>
  </si>
  <si>
    <r>
      <t xml:space="preserve">WGP </t>
    </r>
    <r>
      <rPr>
        <sz val="8"/>
        <color indexed="10"/>
        <rFont val="Times New Roman CE"/>
        <family val="0"/>
      </rPr>
      <t>odszkodowania z jakiego tytułu (z komunalizacji?)</t>
    </r>
  </si>
  <si>
    <r>
      <t xml:space="preserve">WGP - </t>
    </r>
    <r>
      <rPr>
        <sz val="8"/>
        <rFont val="Times New Roman CE"/>
        <family val="0"/>
      </rPr>
      <t xml:space="preserve">ogłoszenia ze sprzedaży nieruchomości -50.000 zł, wynagrodzenie notariusza z tytułu wykupu -10.000 zł </t>
    </r>
  </si>
  <si>
    <t>korekta</t>
  </si>
  <si>
    <t>dodano 130000</t>
  </si>
  <si>
    <t xml:space="preserve">I. Plan wydatków na  inwestycje i zakupy inwestycyjne realizowane przez Miasto Kobyłka w 2011 roku </t>
  </si>
  <si>
    <t>II. Plan pozostałych wydatków majątkowych na 2011 rok</t>
  </si>
  <si>
    <t>Budowa dróg gminnych</t>
  </si>
  <si>
    <t>Niewykorzystane środki z roku ubiegłego</t>
  </si>
  <si>
    <t>Wybory do rad gmin, rad powiatów i sejmików województw, wybory wójtów, burmistrzów i prezydentów miast oraz referenda gminne, powiatowe i wojewódzkie</t>
  </si>
  <si>
    <t>Plan na 2010 rok</t>
  </si>
  <si>
    <t>2009</t>
  </si>
  <si>
    <t>dotacje rozwojowe otrzymane na zadania bieżące</t>
  </si>
  <si>
    <t>Zakup środków żywności</t>
  </si>
  <si>
    <t>85154/w</t>
  </si>
  <si>
    <t xml:space="preserve">Wydatki inwestycyjne jednostek budżetowych - Budowa sali sportowej i boiska wielofunkcyjnego przy ZSP Nr 3 w ramach Regionalnego Programu Operacyjnego Województwa Mazowieckiego- środki własne </t>
  </si>
  <si>
    <t>§ 994</t>
  </si>
  <si>
    <t>Wykup papierów wartościowych (obligacji)</t>
  </si>
  <si>
    <t>§ 982</t>
  </si>
  <si>
    <t>Rozchody z tytułu innych rozliczeń</t>
  </si>
  <si>
    <t>§ 995</t>
  </si>
  <si>
    <t xml:space="preserve">WYNIK BUDŻETU + PRZYCHODY - ROZCHODY </t>
  </si>
  <si>
    <t>WESS</t>
  </si>
  <si>
    <t>Zakupy inwestycyjne związane z dostosowywaniem pomieszczeń niezbędnych do właściwej realizacji programów profilaktycznych</t>
  </si>
  <si>
    <t>Zakup zestawu pompowego SUBARU PTV 406T wraz z oprzyrządowaniem dla OSP w Kobyłce</t>
  </si>
  <si>
    <t>Budowa Infrastruktury Społeczeństwa Informacyjnego na terenie Miasta Kobyłka - Etap II (w ramach Regionalnego Programu Operacyjnego Województwa Mazowieckiego 2007-2013)</t>
  </si>
  <si>
    <t>Budowa Infrastruktury Społeczeństwa Informacyjnego na terenie Miasta Kobyłka - Etap I  (w ramach Regionalnego Programu Operacyjnego Województwa Mazowieckiego 2007-2013) - wydatki nie ujęte w harmonogramie rzeczowo-finansowy realizacji Projektu</t>
  </si>
  <si>
    <t>Kwota dotacji</t>
  </si>
  <si>
    <t>Przedszkole Niepubliczne w Kobyłce "Konik na biegunach"</t>
  </si>
  <si>
    <t>Niepubliczny punkt przedszkolny "Ognisko przedszkolne Kubuś" w Kobyłce</t>
  </si>
  <si>
    <t>Katolickie Publiczne Przedszkole im. św. Franciszka z Asyżu w Kobyłce</t>
  </si>
  <si>
    <t>Miejski  Samodzielny Publiczny Zakład Opieki Zdrowotnej w Kobyłce</t>
  </si>
  <si>
    <t xml:space="preserve">Miejska Biblioteka Publiczna w Kobyłce </t>
  </si>
  <si>
    <t>Nazwa zadania</t>
  </si>
  <si>
    <t>Promocja zdrowia</t>
  </si>
  <si>
    <t>AT- nie będzie</t>
  </si>
  <si>
    <t>AT - ubezpieczenia mienia (zajmuje się W. Reutt-brak propozycji)</t>
  </si>
  <si>
    <t>WGP - dla członków komisji urbanistycznych, wykonanie 30.09.2010 -3.770 zł</t>
  </si>
  <si>
    <r>
      <t>WOW</t>
    </r>
    <r>
      <rPr>
        <sz val="8"/>
        <rFont val="Times New Roman CE"/>
        <family val="1"/>
      </rPr>
      <t xml:space="preserve"> - diety, ryczałty 150.000 zł; podróże służbowe i szkolenia 10.000 zł, </t>
    </r>
    <r>
      <rPr>
        <b/>
        <sz val="8"/>
        <rFont val="Times New Roman CE"/>
        <family val="0"/>
      </rPr>
      <t>KADRY</t>
    </r>
    <r>
      <rPr>
        <sz val="8"/>
        <rFont val="Times New Roman CE"/>
        <family val="1"/>
      </rPr>
      <t>- 150.000 zł</t>
    </r>
  </si>
  <si>
    <t>WOW, AT- w 2010 r. brak wydatku!</t>
  </si>
  <si>
    <r>
      <t>WOW -2.000 zł</t>
    </r>
    <r>
      <rPr>
        <sz val="8"/>
        <rFont val="Times New Roman CE"/>
        <family val="1"/>
      </rPr>
      <t xml:space="preserve">, AT - wykonanie 30.09.2010 -770 zł, </t>
    </r>
    <r>
      <rPr>
        <b/>
        <sz val="8"/>
        <rFont val="Times New Roman CE"/>
        <family val="0"/>
      </rPr>
      <t>propozycja</t>
    </r>
    <r>
      <rPr>
        <sz val="8"/>
        <rFont val="Times New Roman CE"/>
        <family val="1"/>
      </rPr>
      <t xml:space="preserve"> </t>
    </r>
    <r>
      <rPr>
        <b/>
        <sz val="8"/>
        <rFont val="Times New Roman CE"/>
        <family val="0"/>
      </rPr>
      <t>AT-1.200 zł</t>
    </r>
  </si>
  <si>
    <t>WOW- 8.000, AT - wg wykonania 2010 r. około 6.000 zł</t>
  </si>
  <si>
    <t>KADRY-45.000 zł</t>
  </si>
  <si>
    <t>KADRY-90.000 zł</t>
  </si>
  <si>
    <t>KADRY -10.000 zł, wykonanie 30.09.2010- 3.700 zł</t>
  </si>
  <si>
    <t>Wydatki inwestycyjne jednostek budżetowych -Projekt instalacji elektrycznej i odgromowej w Przedszkolu Nr 1</t>
  </si>
  <si>
    <r>
      <t xml:space="preserve">WYDATKI  </t>
    </r>
    <r>
      <rPr>
        <sz val="8"/>
        <color indexed="10"/>
        <rFont val="Times New Roman CE"/>
        <family val="0"/>
      </rPr>
      <t>INWESTYCYJNE</t>
    </r>
    <r>
      <rPr>
        <sz val="8"/>
        <rFont val="Times New Roman CE"/>
        <family val="1"/>
      </rPr>
      <t xml:space="preserve"> realizowane przez Gminę Kobyłka</t>
    </r>
  </si>
  <si>
    <t xml:space="preserve">Zakup usług remontowych - remont budynków komunalnych niemieszkalnych  </t>
  </si>
  <si>
    <t>z tytułu zezwoleń na sprzedaż alkoholu</t>
  </si>
  <si>
    <t>Plan</t>
  </si>
  <si>
    <t>Gminny Program Profilaktyki i Rozwiązywania Problemów Alkoholowych</t>
  </si>
  <si>
    <t>Gminny Program Przeciwdziałania Narkomanii</t>
  </si>
  <si>
    <t>Wydatki inwestycyjne jednostek budżetowych - Wykonanie ścianki mobilnej w sali nr 70 w ZSP NR 1</t>
  </si>
  <si>
    <t>Załącznik nr 5</t>
  </si>
  <si>
    <t>AT- remont wiat przystankowych</t>
  </si>
  <si>
    <t xml:space="preserve">odsetki </t>
  </si>
  <si>
    <t>WI  50.000 zł, wykonanie na 30.09.10 - 15.312 zł</t>
  </si>
  <si>
    <t>KADRY -Piechocka i Raniszewski sprzątanie budynków komunalnych</t>
  </si>
  <si>
    <t xml:space="preserve">WI </t>
  </si>
  <si>
    <t>AT ?</t>
  </si>
  <si>
    <t>WI -opał do starego budynku, zabawki na place zabaw, ławki, Wykonanie na 30.09.2010- 16.103 zł</t>
  </si>
  <si>
    <r>
      <t xml:space="preserve">KADRY </t>
    </r>
    <r>
      <rPr>
        <sz val="8"/>
        <color indexed="10"/>
        <rFont val="Times New Roman CE"/>
        <family val="0"/>
      </rPr>
      <t xml:space="preserve"> (Brukalski umowy specyfikacja techn. placu przed MOK)?</t>
    </r>
  </si>
  <si>
    <t>Wydatki inwestycyjne jednostek budżetowych - Budowa trybun i piłkochwytów oraz zagospodarowanie terenu wokół boiska i  budynku Zespołu Szkół Publicznych Nr 1 w Kobyłce</t>
  </si>
  <si>
    <t>Wydatki inwestycyjne jednostek budżetowych -Zwiększenie dostępu do kształcenia osób niepełnosprawnych na terenie Gminy Kobyłka dzięki likwidacji barier architektonicznych w budynku Przedszkola Publicznego Nr 1 w Kobyłce  (zakup i montaż drzwi aluminiowych)</t>
  </si>
  <si>
    <t>w złotych</t>
  </si>
  <si>
    <t>Dział</t>
  </si>
  <si>
    <t>Rozdział</t>
  </si>
  <si>
    <t>Nazwa rozdziału</t>
  </si>
  <si>
    <t>§</t>
  </si>
  <si>
    <t>Źródło dochodów</t>
  </si>
  <si>
    <t>Ogółem</t>
  </si>
  <si>
    <t>w tym:</t>
  </si>
  <si>
    <t>bieżące</t>
  </si>
  <si>
    <t>majątkowe</t>
  </si>
  <si>
    <t>Dostarczanie wody</t>
  </si>
  <si>
    <t>0690</t>
  </si>
  <si>
    <t>RAZEM WYDATKI</t>
  </si>
  <si>
    <t>§ 950</t>
  </si>
  <si>
    <t>Przychody z tytułu innych rozliczeń krajowych</t>
  </si>
  <si>
    <t>do uchwały budżetowej Miasta Kobyłka na 2011 rok Nr II/10/10 Rady Miejskiej w Kobyłce  z dnia 28 grudnia 2010 r.</t>
  </si>
  <si>
    <t>dochody jednostek samorządu terytorialnego związane z realizacją zadań z zakresu administracji rządowej oraz innych zadań zleconych ustawami (5% opłaty za udostępnianie danych osobowych)</t>
  </si>
  <si>
    <t>Wydatki, w tym:</t>
  </si>
  <si>
    <t>Wydatki inwestycyjne jednostek budżetowych - Oświetlenie ulic, placów i dróg (środki własne)</t>
  </si>
  <si>
    <t>Wydatki inwestycyjne jednostek budżetowych - Modernizacja i wyposażenie MOK w Kobyłce w zakresie ochrony przeciwpożarowej</t>
  </si>
  <si>
    <t>ZSP NR 3</t>
  </si>
  <si>
    <t>INFORMACJE DODATKOWE na 2011</t>
  </si>
  <si>
    <t xml:space="preserve">Wydatki inwestycyjne jednostek budżetowych - Budowa sieci wodociągowych ulicznych </t>
  </si>
  <si>
    <t xml:space="preserve">Wydatki inwestycyjne jednostek budżetowych - Budowa dróg gminnych </t>
  </si>
  <si>
    <t>Wydatki inwestycyjne jednostek budżetowych - Termomodernizacja budynku komunalnego przy ul. Ks. Marmo</t>
  </si>
  <si>
    <t>Wpłaty jednostek na fundusz celowy na finansowanie lub dofinansowanie zadań inwestycyjnych (2010 r. - zakup radiowozu dla Komisariatu Policji w Kobyłce)</t>
  </si>
  <si>
    <t>Wydatki inwestycyjne jednostek budżetowych - Projekt "Budowa kompleksowej infrastruktury Społeczeństwa Informacyjnego na terenie Miasta Kobyłka w ramach RPO"- śr. własne</t>
  </si>
  <si>
    <t>BL-prowizja od kredytu krótkoterminowego 1mln zł</t>
  </si>
  <si>
    <t xml:space="preserve">podatek od środków transportowych </t>
  </si>
  <si>
    <t>0500</t>
  </si>
  <si>
    <t xml:space="preserve">podatek od czynności cywilnoprawnych </t>
  </si>
  <si>
    <t>2680</t>
  </si>
  <si>
    <t xml:space="preserve">rekompensaty utraconych dochodów w podatkach i opłatach lokalnych </t>
  </si>
  <si>
    <t xml:space="preserve">Ochotnicze straże pożarne - dotacje celowe z budżetu na finansowanie lub dofinansowanie kosztów realizacji inwestycji i zakupów inwestycyjnych jednostek nie zaliczanych do sektora finansów publicznych - "Dofinansowanie zakupu ciężkiego samochodu pożarniczego dla OSP w Kobyłce" </t>
  </si>
  <si>
    <t>RAZEM  WYDATKI  MAJĄTKOWE  (część I  i  II)</t>
  </si>
  <si>
    <r>
      <t xml:space="preserve">Wpływy z podatku rolnego,  podatku leśnego, podatku od spadków i darowizn, podatku od czynności cywilnoprawnych oraz  podatków i opłat lokalnych </t>
    </r>
    <r>
      <rPr>
        <b/>
        <sz val="10"/>
        <rFont val="Times New Roman"/>
        <family val="1"/>
      </rPr>
      <t>od osób fizycznych</t>
    </r>
  </si>
  <si>
    <t>0320</t>
  </si>
  <si>
    <t>podatek rolny</t>
  </si>
  <si>
    <t>podatek leśny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</si>
  <si>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</si>
  <si>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</si>
  <si>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</si>
  <si>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</si>
  <si>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</si>
  <si>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</si>
  <si>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</si>
  <si>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podatek od czynności cywilnoprawnych</t>
  </si>
  <si>
    <t>Wpływy z innych opłat stanowiących dochody j. s. t. na podstawie ustaw</t>
  </si>
  <si>
    <t>0410</t>
  </si>
  <si>
    <t>wpływy z opłaty skarbowej</t>
  </si>
  <si>
    <t>0480</t>
  </si>
  <si>
    <t>0490</t>
  </si>
  <si>
    <t>Wpływy z różnych rozliczeń</t>
  </si>
  <si>
    <t>0460</t>
  </si>
  <si>
    <t>wpływy z opłaty eksploatacyjnej</t>
  </si>
  <si>
    <t>Udziały gmin w podatkach stanowiących dochód budżetu państwa</t>
  </si>
  <si>
    <t>0010</t>
  </si>
  <si>
    <t>podatek dochodowy od osób fizycznych</t>
  </si>
  <si>
    <t>0020</t>
  </si>
  <si>
    <t>Rezerwa na zarządzanie kryzysowe</t>
  </si>
  <si>
    <t>podatek dochodowy od osób prawnych</t>
  </si>
  <si>
    <t>razem dział</t>
  </si>
  <si>
    <t>Część oświatowa subwencji ogólnej dla j. s. t.</t>
  </si>
  <si>
    <t>2920</t>
  </si>
  <si>
    <t>Szkoły podstawowe</t>
  </si>
  <si>
    <t xml:space="preserve">pozostałe odsetki </t>
  </si>
  <si>
    <t>Plan dochodów po zmianach na 2010 r.</t>
  </si>
  <si>
    <t>Zasiłki stałe</t>
  </si>
  <si>
    <t>2030</t>
  </si>
  <si>
    <t>Świadczenia rodzinne, świadczenie z funduszu alimentycyjnego oraz składki na ubezpieczenia emerytalne i rentowe z ubezpieczenia społecznego</t>
  </si>
  <si>
    <t>Przedszkola</t>
  </si>
  <si>
    <t xml:space="preserve">wpływy z różnych opłat (opłata stała za przedszkole) </t>
  </si>
  <si>
    <t>w tym: Przedszkole Nr 1</t>
  </si>
  <si>
    <t>2310</t>
  </si>
  <si>
    <t>b) dochody (dotacje) na realizację zadań realizowanych na mocy porozumień z organami administracji rządowej</t>
  </si>
  <si>
    <r>
      <t>WI-</t>
    </r>
    <r>
      <rPr>
        <sz val="8"/>
        <rFont val="Times New Roman CE"/>
        <family val="1"/>
      </rPr>
      <t xml:space="preserve"> remont dachu w hali sportowej w ZSP Nr 2 (czy wydatek ZSP 2)</t>
    </r>
  </si>
  <si>
    <r>
      <t>WP</t>
    </r>
    <r>
      <rPr>
        <sz val="8"/>
        <rFont val="Times New Roman CE"/>
        <family val="1"/>
      </rPr>
      <t xml:space="preserve"> -250.000 zł (wartość zadania z dotacją), będzie wniosek o dotację , SKARBNIK- wkład własny 50%-125.000</t>
    </r>
  </si>
  <si>
    <t>plan MOK  1.035.519 zł</t>
  </si>
  <si>
    <t>Wykonanie 2010 r. -0   , Skarbnik-10.000 zł</t>
  </si>
  <si>
    <t>brak propozycji stanowiska ds. promocji , wydatki na sportowców są w rozdziale 92605 JAKA PROPOZYCJA BURMISTRZA?</t>
  </si>
  <si>
    <t>BL- (sprzedaż działek 5.000.000*23%) ew. dodać od dzierżawy urządzeń wodociągowo-kanalizacyjnych</t>
  </si>
  <si>
    <t xml:space="preserve">WI- coroczne konserwacje rowów -200.000 zł, czyszczenie kanalizacji deszczowej -30.000 zł, dobudowa wpusty, studnie -15.000 zł, drenaż ul. Jesionowa - 20.000, przebudowa rowów 450.000 zł,studnie chłonne, remonty przepustów, przyczółki, inne </t>
  </si>
  <si>
    <t>IMPREZY</t>
  </si>
  <si>
    <t>WESS-120.000  IMPREZY bez rozbicia na paragrafy  Skarbnik-100.000 zł</t>
  </si>
  <si>
    <t>WI -darowizny na budowę wodociągów</t>
  </si>
  <si>
    <t>Wydatki jednostek budżetowych (kol. 9+ kol. 10)</t>
  </si>
  <si>
    <r>
      <t>SPŁATY RAT KREDYTÓW I POŻYCZEK</t>
    </r>
    <r>
      <rPr>
        <sz val="10"/>
        <rFont val="Times New Roman CE"/>
        <family val="1"/>
      </rPr>
      <t xml:space="preserve">  </t>
    </r>
    <r>
      <rPr>
        <b/>
        <sz val="10"/>
        <rFont val="Times New Roman CE"/>
        <family val="0"/>
      </rPr>
      <t>I ODSETEK</t>
    </r>
  </si>
  <si>
    <r>
      <t xml:space="preserve">WF- </t>
    </r>
    <r>
      <rPr>
        <sz val="8"/>
        <rFont val="Times New Roman CE"/>
        <family val="0"/>
      </rPr>
      <t>opłaty bankowe-10.000, transport gotówki -16.200, BHP- Sielewicz  -12.000 Strategia kontra zarządcza -20.000 zł</t>
    </r>
  </si>
  <si>
    <t>AT- w 2010 r. przeglądy budynków, wydatek na 30.09.2010 r. 12.200 zł, AUDYT ENERGETYCZNY?</t>
  </si>
  <si>
    <t>Budowa Infrastruktury Społeczeństwa Informacyjnego na terenie Miasta Kobyłka - Etap I  (w ramach Regionalnego Programu Operacyjnego Województwa Mazowieckiego 2007-2013)</t>
  </si>
  <si>
    <t>Zwiększenie dostępu do kształcenia osób niepełnosprawnych na terenie Gminy Kobyłka poprzez zakup i montaż platform schodowych w budynku Zespołu Szkół Publicznych Nr 2</t>
  </si>
  <si>
    <t xml:space="preserve">Miejski Ośrodek Kultury w Kobyłce </t>
  </si>
  <si>
    <t>Szpitale ogólne - dotacja celowa na pomoc finansową udzielaną między j.s.t. na dofinansowanie własnych zadań inwestycyjnych i zakupów inwestycyjnych - pomoc finansowa dla Szpitala Powiatowego w Wołominie</t>
  </si>
  <si>
    <t>I. RAZEM dla jednostek sektora finansów publicznych</t>
  </si>
  <si>
    <t>II. RAZEM dla jednostek nie należących do sektora finansów publicznych</t>
  </si>
  <si>
    <r>
      <t>WOW-</t>
    </r>
    <r>
      <rPr>
        <sz val="8"/>
        <rFont val="Times New Roman CE"/>
        <family val="1"/>
      </rPr>
      <t>usługi pocztowe 70.000 zł, opłaty i konserwacja systemów alarmowych w budynkach urzędu, serwis klimatyzacji -10.000 zł,  usługi: pranie wykładzin, wyrób pieczęci, wynajem mat podł. I dystrybutorów do wody, dorabianie kluczy, abonamenty za radioodbiorniki 20.000 zł, aktualizacja, serwis  i przedłużenie licencji programów komputerowych -110.000 zł, ścieki -6.000,</t>
    </r>
  </si>
  <si>
    <t>Inne formy pomocy dla uczniów - środki własne</t>
  </si>
  <si>
    <r>
      <t>WP</t>
    </r>
    <r>
      <rPr>
        <sz val="8"/>
        <rFont val="Times New Roman CE"/>
        <family val="1"/>
      </rPr>
      <t>- zadanie przeniesione z 2010 na 2011 r.</t>
    </r>
  </si>
  <si>
    <r>
      <t>WP</t>
    </r>
    <r>
      <rPr>
        <sz val="8"/>
        <rFont val="Times New Roman CE"/>
        <family val="1"/>
      </rPr>
      <t>- wykonanie projektów i budowa sieci i odgałęzień kanalizacji sanitarnej</t>
    </r>
  </si>
  <si>
    <t>Zakup usług pozostałych - utylizacja azbestu (dotacja z WFOŚiGW)</t>
  </si>
  <si>
    <t>Zakup usług pozostałych ( z dotacji z powiatu)</t>
  </si>
  <si>
    <t xml:space="preserve">Ochrona oraz promocja walorów środowiska, przyrody i krajobrazu </t>
  </si>
  <si>
    <t>Zadania w zkresie kultury fizycznej i sportu</t>
  </si>
  <si>
    <t>HU -0 (głównie zwrot podatku VAT od projektu realizowanego z Funduszem Spójności)</t>
  </si>
  <si>
    <t xml:space="preserve"> (wywóz i utylizacja azbestu)</t>
  </si>
  <si>
    <t>Nagrody o charakterze szczególnym niezaliczane do wynagrodzeń</t>
  </si>
  <si>
    <t>Stypendia różne</t>
  </si>
  <si>
    <r>
      <t>pismo z ZTM linia nocna - 9.748*12=116.976 zł, wspólny bilet - 62.460*12=</t>
    </r>
    <r>
      <rPr>
        <sz val="8"/>
        <color indexed="10"/>
        <rFont val="Times New Roman CE"/>
        <family val="0"/>
      </rPr>
      <t>749.520 zł</t>
    </r>
    <r>
      <rPr>
        <sz val="8"/>
        <rFont val="Times New Roman CE"/>
        <family val="1"/>
      </rPr>
      <t>, RAZEM=</t>
    </r>
    <r>
      <rPr>
        <u val="single"/>
        <sz val="8"/>
        <color indexed="10"/>
        <rFont val="Times New Roman CE"/>
        <family val="0"/>
      </rPr>
      <t>866.496 zł</t>
    </r>
    <r>
      <rPr>
        <sz val="8"/>
        <color indexed="10"/>
        <rFont val="Times New Roman CE"/>
        <family val="0"/>
      </rPr>
      <t>;  Burmistrz proponuje dopłatę do biletu w wysokości roku  2010 tj. 533.352 zł CZY MOŻLIWE JEST PODPISANIE UMOWY NA NIŻSZĄ KWOTĘ?</t>
    </r>
  </si>
  <si>
    <r>
      <t>WI</t>
    </r>
    <r>
      <rPr>
        <sz val="8"/>
        <rFont val="Times New Roman CE"/>
        <family val="1"/>
      </rPr>
      <t xml:space="preserve"> -wywóz nieczystości -20.000 zł,  </t>
    </r>
    <r>
      <rPr>
        <b/>
        <sz val="8"/>
        <rFont val="Times New Roman CE"/>
        <family val="0"/>
      </rPr>
      <t>AT- nie zaplanowano</t>
    </r>
    <r>
      <rPr>
        <sz val="8"/>
        <rFont val="Times New Roman CE"/>
        <family val="1"/>
      </rPr>
      <t xml:space="preserve"> -ok. 5.500 zł kominiarze, inne prace na terenie miasta 24.500 zł </t>
    </r>
  </si>
  <si>
    <t xml:space="preserve">WOW -plan 2010 r. §4210,4740,4750 =8.500 zł, zakup art. spożywczych i kwiatów - 7.000 zł, zakup oprogramowania i sprzętu komputerowego i biurowego - 8.000 zł , </t>
  </si>
  <si>
    <r>
      <t>WOW- plan 0</t>
    </r>
    <r>
      <rPr>
        <sz val="8"/>
        <rFont val="Times New Roman CE"/>
        <family val="1"/>
      </rPr>
      <t>, AT- w 2010 r. wydatek 1.100 zł propozycja AT -500 zł</t>
    </r>
  </si>
  <si>
    <r>
      <t>KADRY-60.000 zł, wykonanie na 22.10.2010 - 33.602 zł, ZAWYŻONE ok. 10.000 zł ?,</t>
    </r>
    <r>
      <rPr>
        <b/>
        <sz val="8"/>
        <rFont val="Times New Roman CE"/>
        <family val="0"/>
      </rPr>
      <t xml:space="preserve"> propozycja AT-50.000 zł</t>
    </r>
  </si>
  <si>
    <t xml:space="preserve">Tworzymy przyszłość – partnerstwo na rzecz wykorzystania energii słonecznej na terenie Gmin Kobyłka, Jakubów i Siennica </t>
  </si>
  <si>
    <r>
      <t xml:space="preserve">plan 2010 </t>
    </r>
    <r>
      <rPr>
        <sz val="8"/>
        <rFont val="Times New Roman"/>
        <family val="1"/>
      </rPr>
      <t>§</t>
    </r>
    <r>
      <rPr>
        <sz val="8"/>
        <rFont val="Times New Roman CE"/>
        <family val="1"/>
      </rPr>
      <t xml:space="preserve">4210,4740,4750, 6060=195.000 zł, WOW - </t>
    </r>
    <r>
      <rPr>
        <sz val="8"/>
        <color indexed="10"/>
        <rFont val="Times New Roman CE"/>
        <family val="0"/>
      </rPr>
      <t>s</t>
    </r>
    <r>
      <rPr>
        <b/>
        <sz val="8"/>
        <color indexed="10"/>
        <rFont val="Times New Roman CE"/>
        <family val="0"/>
      </rPr>
      <t>przęt biurowy</t>
    </r>
    <r>
      <rPr>
        <b/>
        <sz val="8"/>
        <rFont val="Times New Roman CE"/>
        <family val="0"/>
      </rPr>
      <t xml:space="preserve">, oprogramowanie, </t>
    </r>
    <r>
      <rPr>
        <b/>
        <sz val="8"/>
        <color indexed="10"/>
        <rFont val="Times New Roman CE"/>
        <family val="0"/>
      </rPr>
      <t>sprzęt komputerowy</t>
    </r>
    <r>
      <rPr>
        <sz val="8"/>
        <rFont val="Times New Roman CE"/>
        <family val="1"/>
      </rPr>
      <t xml:space="preserve">, części i materiałów eklsploatacyjnych. do sprzętu komp., meble (wymiana stołów na sali konferenc. i mebli w gab. Burmistrza oraz drzwi wejściowych), art. biurowych, środki czystości, druki, flagi, art. spozywcze i kwiaty -300.000 zł, prenumerata -25.000 zł, </t>
    </r>
  </si>
  <si>
    <r>
      <t>WOW</t>
    </r>
    <r>
      <rPr>
        <sz val="8"/>
        <rFont val="Times New Roman CE"/>
        <family val="1"/>
      </rPr>
      <t>-serwis i naprawy urządzeń biurowych, sprzętu ppoż, pieców i urządzeń -35.000 zł, modernizacja sieci teleinformatycznej-20.000, remonty i odnawianie w budynkach Urzędu -100.000zł (w tym remonty toalet)</t>
    </r>
  </si>
  <si>
    <t xml:space="preserve">WI-  550.000 zł, Plan na 2010 r.  prawdopodobnie będzie musiał być zwiększony ! (wywóz nieczystości, wyłapywanie psów, zbiornica padliny, </t>
  </si>
  <si>
    <t>WP kontynuacja zadania</t>
  </si>
  <si>
    <t>WI- Ochrona oraz promocja walorów środowiska, przyrody i krajobrazu -działania skierowane do dzieci i młodzieży zwiazane z prowadzeniem edukacji ekologicznej oraz podnoszeniem świadomości ekologicznej KONKURS OFERT</t>
  </si>
  <si>
    <t>WI- ubezpieczenie samochodu (wydatek w 2010- 1.180 zł)</t>
  </si>
  <si>
    <t>WI -20.000 zł (wykonanie do 13.10.10- 5.006 zł)</t>
  </si>
  <si>
    <t>WI -75.000 (wykonanie do 22.10.10- 44.000 zł podpisano umowy na 15.000 zł)</t>
  </si>
  <si>
    <t>Budowa placu zabaw przy ZSP NR 1 w Kobyłce w ramach rządowego programu "Radosna Szkoła"</t>
  </si>
  <si>
    <r>
      <t xml:space="preserve">brak propozycji WI, wykonanie do 30.09.2010- 9.882 zł, </t>
    </r>
    <r>
      <rPr>
        <b/>
        <sz val="8"/>
        <rFont val="Times New Roman CE"/>
        <family val="0"/>
      </rPr>
      <t>propozycja AT-10.000 zł</t>
    </r>
  </si>
  <si>
    <r>
      <t>WI - 550.000 zł</t>
    </r>
    <r>
      <rPr>
        <sz val="8"/>
        <rFont val="Times New Roman CE"/>
        <family val="1"/>
      </rPr>
      <t xml:space="preserve"> (wykonanie do 22.10.2010 -437.500 zł) moż być za mało -ceny energii rosną</t>
    </r>
  </si>
  <si>
    <t>WI-remont i wymiana skrzynek SON, konserwacja, liczniki dwutaryfowe, inne, będzie nowy przetarg od 1.01.2011r., cena za konserwację wzrośnie  (wykonanie do 12.10.2010 - 122.830 zł)</t>
  </si>
  <si>
    <r>
      <t xml:space="preserve">WI - 0, Skarbnik-500.000 zł </t>
    </r>
    <r>
      <rPr>
        <sz val="8"/>
        <rFont val="Times New Roman CE"/>
        <family val="1"/>
      </rPr>
      <t xml:space="preserve"> może być umowa na kontynuację prac</t>
    </r>
  </si>
  <si>
    <t>WESS DO WERYFIKACJI było wcześniej w promocji</t>
  </si>
  <si>
    <t>WESS DO WERYFIKACJI było wcześniej z promocji</t>
  </si>
  <si>
    <t xml:space="preserve">brak propozycji stanowiska ds. promocji </t>
  </si>
  <si>
    <t>WOI-2,45%</t>
  </si>
  <si>
    <t>WOI</t>
  </si>
  <si>
    <t xml:space="preserve">WGP - 2mln, AP-sprzedaż na raty -7.000 </t>
  </si>
  <si>
    <t>WGP- wyceny nieruchomości</t>
  </si>
  <si>
    <t xml:space="preserve">WGP - opracowanie nowych i zmiana funkcjonujących  miejscowych planów zagospodarowania </t>
  </si>
  <si>
    <t>Wydatki na zakupy inwestycyjne jednostek budżetowych - nabycie nieruchomości  położonej w Kobyłce, ul. Słowackiego 26 (śr. własne)</t>
  </si>
  <si>
    <t>odsetki od nieterminowych wpłat z tytułu podatków i opłat</t>
  </si>
  <si>
    <r>
      <t xml:space="preserve">Wpływy z podatku rolnego,  podatku leśnego,  podatku od czynności cywilnoprawnych,  podatków i opłat lokalnych </t>
    </r>
    <r>
      <rPr>
        <b/>
        <sz val="10"/>
        <rFont val="Times New Roman"/>
        <family val="1"/>
      </rPr>
      <t>od osób prawnych i innych jednostek organizacyjnych</t>
    </r>
  </si>
  <si>
    <t>0310</t>
  </si>
  <si>
    <t xml:space="preserve">podatek od nieruchomości </t>
  </si>
  <si>
    <t>0330</t>
  </si>
  <si>
    <t xml:space="preserve">podatek leśny </t>
  </si>
  <si>
    <t>0340</t>
  </si>
  <si>
    <t>Wydatki  na programy finansowane z udziałem środków, o których mowa w art. 5 ust 1 pkt 2 i 3 ufp</t>
  </si>
  <si>
    <t>Dotacja celowa na pomoc finansową udzielaną między j.s.t. na dofinansowanie własnych zadań bieżących  - ponadlokalny samorządowy program pn. "Ossów Wrota Bitwy Warszawskiej 1920 roku"</t>
  </si>
  <si>
    <t xml:space="preserve">Zakup usług pozostałych </t>
  </si>
  <si>
    <t>Wydatki na zakupy inwestycyjne jednostek budżetowych - wykup gruntu (śr. własne)</t>
  </si>
  <si>
    <t>710</t>
  </si>
  <si>
    <t>Zakup usług pozostałych (opracowanie studium zagosp. przestrzennego)</t>
  </si>
  <si>
    <t>Zakup usług pozostałych - podziały geodezyjne</t>
  </si>
  <si>
    <t xml:space="preserve">Plan dochodów na 2011 rok </t>
  </si>
  <si>
    <t>Plan na 2011 rok</t>
  </si>
  <si>
    <t>sens?</t>
  </si>
  <si>
    <t>sens 2007 2009?</t>
  </si>
  <si>
    <t xml:space="preserve"> z tytułu dotacji i środków na finansowanie wydatków na realizację zadań finansowanych z udziałem środków, o których mowa w art. 5 ust. 1 pkt 2 i 3 ufp</t>
  </si>
  <si>
    <t>z tytułu dotacji i środków na finansowanie wydatków na realizację zadań finansowanych z udziałem środków, o których mowa w art. 5 ust. 1 pkt 2 i 3 ufp</t>
  </si>
  <si>
    <t>Wydatki inwestycyjne jednostek budżetowych - Termomodernizacja MSPZOZ, ZSP Nr 1, ZSP Nr 2 oraz Przedszkola Nr 1 w Kobyłce w ramach RPO - Sr. Własne</t>
  </si>
  <si>
    <t>Wydatki inwestycyjne jednostek budżetowych -  Budowa instalacji solarnych w Mieście Kobyłka w ramach  Regionalnego Programu Operacyjnego Województwa Mazowieckiego</t>
  </si>
  <si>
    <t>Wydatki inwestycyjne jednostek budżetowych -  Wykonanie fontanny na skwerku przy zbiegu ulic Wołomińskiej i Jana Pawła II w Kobyłce</t>
  </si>
  <si>
    <t>Wydatki inwestycyjne jednostek budżetowych - Doposażanie placów zabaw</t>
  </si>
  <si>
    <t>Wydatki na zakupy inwestycyjne jednostek budżetowych - Zakup pompy szlamowej (śr. z dotacji)</t>
  </si>
  <si>
    <t>Wydatki na zakupy inwestycyjne jednostek budżetowych - Zakup pompy szlamowej (śr. własne)</t>
  </si>
  <si>
    <t>Rezerwa na zadania oświatowe</t>
  </si>
  <si>
    <t>WI -remont dachu ul. Wspólna 8 -40.000 zł,, remont bramy i kl. schodowej - Ks. Marmo 33 -10.000 zł, wentylacja budynków Wspólna 8 -20.000zł, remont lokalu Nadarzyńska 15/2 - 8.000, wymiana dachu ul. Belgijska - 15.000z ł, ogrodzenie Nadarzyńska 51 - 7.000zł, usługi stałe (elektr., remontowe, wodno-kan.,wspólnota) -50.000, awarie i inne -50.000zł</t>
  </si>
  <si>
    <t>WI-Wołomińska 3 - remont garażu, rozbiórka budynków na parkingu UM,  konserwacja placów zabaw 12*2640=31.680 zł; inne konserwacje</t>
  </si>
  <si>
    <r>
      <t xml:space="preserve">WI - ubezpieczenia; </t>
    </r>
    <r>
      <rPr>
        <sz val="8"/>
        <color indexed="10"/>
        <rFont val="Times New Roman CE"/>
        <family val="0"/>
      </rPr>
      <t>opłaty za korzystanie ze środowiska do Urzędu Marszałkowskigo</t>
    </r>
    <r>
      <rPr>
        <sz val="8"/>
        <color indexed="12"/>
        <rFont val="Times New Roman CE"/>
        <family val="0"/>
      </rPr>
      <t>, opłata do Regionalnej Dyrekcji Lasów za wyłączenie z produkcji leśnej</t>
    </r>
  </si>
  <si>
    <t>Dotacje celowe przekazane do samorządu województwa na inwestycje i zakupy inwestycyjne realizowane na podstawie porozumień (umów) między jednostkami samorządu terytorialnego</t>
  </si>
  <si>
    <t>751</t>
  </si>
  <si>
    <t>4170/z</t>
  </si>
  <si>
    <t>4210/z</t>
  </si>
  <si>
    <t>754</t>
  </si>
  <si>
    <t xml:space="preserve">Wpłaty jednostek na fundusz celowy na finansowanie lub dofinansowanie zadań inwestycyjnych </t>
  </si>
  <si>
    <t>OSP</t>
  </si>
  <si>
    <t>4210/dw</t>
  </si>
  <si>
    <t>4700/z</t>
  </si>
  <si>
    <t>757</t>
  </si>
  <si>
    <t>Plany zagospodarowania przestrzennego</t>
  </si>
  <si>
    <t>Opracowania geodezyjne i kartograficzne</t>
  </si>
  <si>
    <t>Rady gmin (miast i miast na prawach powiatu)</t>
  </si>
  <si>
    <t xml:space="preserve">Dotacja celowa z budżetu na finansowanie lub dofinansowanie zadań zleconych do realizacji pozostałym jednostkom niezaliczanym do sektora finansów publicznych </t>
  </si>
  <si>
    <t>Świadczenia społeczne - prace społecznie użyteczne</t>
  </si>
  <si>
    <t>854</t>
  </si>
  <si>
    <t>Stypendia dla uczniów - środki własne</t>
  </si>
  <si>
    <t>4240/dw</t>
  </si>
  <si>
    <t>Zakup pomocy naukowych, dydaktycznych i książek - z dotacji</t>
  </si>
  <si>
    <t>Dotacja celowa z budżetu na finansowanie lub dofinansowanie zadań zleconych do realizacji stowarzyszeniom</t>
  </si>
  <si>
    <t>900</t>
  </si>
  <si>
    <t>PLAN WYDATKÓW NA POMOC FINANSOWĄ</t>
  </si>
  <si>
    <t>UDZIELANĄ MIĘDZY JEDNOSTKAMI SAMORZĄDU TERYTORIALNEGO</t>
  </si>
  <si>
    <t xml:space="preserve">W Y D A T K I </t>
  </si>
  <si>
    <t xml:space="preserve">Rozdział </t>
  </si>
  <si>
    <t>Kwota</t>
  </si>
  <si>
    <t>Szpitale ogólne - dotacja celowa na pomoc finansową udzielaną między j.s.t na dofinansowanie własnych zadań inwestycyjnych i zakupów inwestycyjnych - pomoc finansowa dla Szpitala Powiatowego w Wołominie</t>
  </si>
  <si>
    <t>Programy polityki zdrowotnej - dotacja celowa na pomoc finansową udzielaną między między jednostkami samorządu terytorialnego na dofinansowanie własnych zadań bieżących - na wykonanie badań mammograficznych</t>
  </si>
  <si>
    <t>Pozostała działalność - dotacja celowa na pomoc finansową udzielaną między j.s.t. na dofinansowanie własnych zadań bieżących  - na realizację ponadlokalnego samorządowego programu pn. "Ossów Wrota Bitwy Warszawskiej 1920 roku"</t>
  </si>
  <si>
    <t>Urząd Miejski w Wołominie</t>
  </si>
  <si>
    <t>OGÓŁEM WYDATKI</t>
  </si>
  <si>
    <t xml:space="preserve"> NA 2011 ROK</t>
  </si>
  <si>
    <t>do uchwały  Nr /10 Rady Miejskiej w Kobyłce  z dnia</t>
  </si>
  <si>
    <t>dotacje otrzymane z funduszy celowych na realizację zadań bieżących jednostek sektora finansów publicznych</t>
  </si>
  <si>
    <t xml:space="preserve">WESS-awans zawodowy nauczycieli -umowy zlecenia dla ekspertów </t>
  </si>
  <si>
    <t>propozycja AT</t>
  </si>
  <si>
    <t>758</t>
  </si>
  <si>
    <t>6298</t>
  </si>
  <si>
    <t>środki na dofinansowanie własnych inwestycji gmin (związków gmin), powiatów (związków powiatów), samorządowych województw, pozyskane z innych źródeł</t>
  </si>
  <si>
    <t>150</t>
  </si>
  <si>
    <t>15011</t>
  </si>
  <si>
    <t>Rozwój przedsiębiorczości</t>
  </si>
  <si>
    <t>Przetwórstwo przemysłowe</t>
  </si>
  <si>
    <t>Promocja jednostek samorządu terytorialnego</t>
  </si>
  <si>
    <t>Komendy wojewódzkie Policji</t>
  </si>
  <si>
    <t>Komendy powiatowe Państwowej Straży Pożarnej</t>
  </si>
  <si>
    <t>Zarządzanie kryzysowe</t>
  </si>
  <si>
    <t>Obsługa papierów wartościowych, kredytów i pożyczek j.s.t.</t>
  </si>
  <si>
    <t>Rezerwy ogólne i celowe</t>
  </si>
  <si>
    <t>Oddziały przedszkolne w szkołach podstawowych</t>
  </si>
  <si>
    <t>Dowożenie uczniów do szkół</t>
  </si>
  <si>
    <t>Dokształcanie i doskonalenie nauczycieli</t>
  </si>
  <si>
    <t>Szpitale ogólne</t>
  </si>
  <si>
    <t>Lecznictwo ambulatoryjne</t>
  </si>
  <si>
    <t>Programy polityki zdrowotnej</t>
  </si>
  <si>
    <t>Zwalczanie narkomanii</t>
  </si>
  <si>
    <t>Dodatki mieszkaniowe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</si>
  <si>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</si>
  <si>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</si>
  <si>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</si>
  <si>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</si>
  <si>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</si>
  <si>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Obiekty sportowe</t>
  </si>
  <si>
    <t>Zadania w zakresie kultury fizycznej i sportu</t>
  </si>
  <si>
    <t>Rolnictwo i łowiectwo</t>
  </si>
  <si>
    <t>Obsługa długu publicznego</t>
  </si>
  <si>
    <t>Kultura i ochrona dziedzictwa narodowego</t>
  </si>
  <si>
    <t>Kultura fizyczna i sport</t>
  </si>
  <si>
    <t>Wydatki gminnych jednostek organizacyjnych</t>
  </si>
  <si>
    <t>Nazwa jednostki</t>
  </si>
  <si>
    <t>ZSP Nr 1</t>
  </si>
  <si>
    <t>Razem ZSP Nr 1</t>
  </si>
  <si>
    <t>ZSP Nr 2</t>
  </si>
  <si>
    <t>Razem ZSP Nr 2</t>
  </si>
  <si>
    <t>ZSP Nr 3</t>
  </si>
  <si>
    <t>Razem ZSP Nr 3</t>
  </si>
  <si>
    <t>Przedszkole Nr 1</t>
  </si>
  <si>
    <t>Razem Przedszkole Nr 1</t>
  </si>
  <si>
    <t>Ośrodek Pomocy Społecznej</t>
  </si>
  <si>
    <t>Razem OPS</t>
  </si>
  <si>
    <t>Urząd Miasta</t>
  </si>
  <si>
    <t>Razem Urząd Miasta</t>
  </si>
  <si>
    <t>OGÓŁEM  WYDATKI</t>
  </si>
  <si>
    <t>Lp.</t>
  </si>
  <si>
    <t>Rozdz.</t>
  </si>
  <si>
    <t>Planowane wydatki</t>
  </si>
  <si>
    <t>Jednostka organizacyjna realizująca program lub koordynująca wykonanie programu</t>
  </si>
  <si>
    <t>Wydatki na zakupy inwestycyjne jednostek budżetowych - zakup sprzętu komputerowego i biurowego- śr. własne</t>
  </si>
  <si>
    <t>3030/z</t>
  </si>
  <si>
    <t>dochody własne jst</t>
  </si>
  <si>
    <t>Ochrona zabytków i opieka nad zabytkami</t>
  </si>
  <si>
    <t>dotacje na zadania bieżące</t>
  </si>
  <si>
    <t>RAZEM DOTACJE</t>
  </si>
  <si>
    <t xml:space="preserve">dotacje na zadania majątkowe </t>
  </si>
  <si>
    <t>Zakup usług remontowych- remont budynków komunalnych mieszkalnych</t>
  </si>
  <si>
    <t>801</t>
  </si>
  <si>
    <t xml:space="preserve">Wynagrodzenia bezosobowe </t>
  </si>
  <si>
    <t xml:space="preserve">Spłaty kredytów otrzymanych na finansowanie zadań realizowanych z udziałem środków pochodzących z budżetu UE (kredyt z  PKO BP SA) </t>
  </si>
  <si>
    <r>
      <t>% wzrostu planu             (</t>
    </r>
    <r>
      <rPr>
        <b/>
        <sz val="8"/>
        <rFont val="Times New Roman"/>
        <family val="1"/>
      </rPr>
      <t>kol. 7: kol. 6)</t>
    </r>
  </si>
  <si>
    <t>I. Jednostki sektora finansów publicznych</t>
  </si>
  <si>
    <t>II. Jednostki nie należące do sektora finansów publicznych</t>
  </si>
  <si>
    <t>Wydatki
z tytułu poręczeń
i gwarancji</t>
  </si>
  <si>
    <t>Gospodarka odpadami</t>
  </si>
  <si>
    <t>2440</t>
  </si>
  <si>
    <t xml:space="preserve"> </t>
  </si>
  <si>
    <t xml:space="preserve">DOCHODY OGÓŁEM  </t>
  </si>
  <si>
    <t>ZESTAWIENIE  DOCHODÓW  WEDŁUG DZIAŁÓW</t>
  </si>
  <si>
    <t>Nazwa działu</t>
  </si>
  <si>
    <t>Dotacja podmiotowa z budżetu dla niepublicznej jednostki systemu oświaty (punkt przedszkolny "Ognisko przedszkolne Kubuś")</t>
  </si>
  <si>
    <t>Wolne środki, o których mowa w art. 217 ust. 2 pkt 6 u.f.p.</t>
  </si>
  <si>
    <t>Budowa zatoki parkingowej i przebudowa fragmentu chodnika przy ul. Napoleona</t>
  </si>
  <si>
    <t>Dotacja podmiotowa z budżetu dla publicznej jednostki systemu oświaty prowadzonej przez osobę prawną inną niż j.s.t lub przez osobę fizyczną (Katolickie Publiczne Przedszkole im. św. Franciszka z Asyżu w Kobyłce)</t>
  </si>
  <si>
    <t xml:space="preserve">Dotacja celowa z budżetu na finansowanie lub dofinansowanie zadań zleconych do realizacji stowarzyszeniom </t>
  </si>
  <si>
    <t>4300/dw</t>
  </si>
  <si>
    <t>Pożyczki na finansowanie zadań realizowanych
z udziałem środków pochodzących z budżetu UE</t>
  </si>
  <si>
    <t>dochody związane z realizacją zadań z zakresu administracji rządowej oraz innych zadań zleconych ustawami</t>
  </si>
  <si>
    <t>zwrot podatku VAT</t>
  </si>
  <si>
    <t xml:space="preserve"> DOCHODY OGÓŁEM </t>
  </si>
  <si>
    <t>z tego:</t>
  </si>
  <si>
    <t>Wydatki majątkowe</t>
  </si>
  <si>
    <t>Wydatki na obsługę długu</t>
  </si>
  <si>
    <t>010</t>
  </si>
  <si>
    <t>01030</t>
  </si>
  <si>
    <t>Izby rolnicze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</si>
  <si>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</si>
  <si>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</si>
  <si>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Różne wydatki na rzecz osób fizycznych - diety, ryczałt</t>
  </si>
  <si>
    <t>WOW (może być kupiona komórka dla nowej rady)</t>
  </si>
  <si>
    <t>OSP (paliwo, części do samochodów)</t>
  </si>
  <si>
    <t>OSP - dla Kościeszy</t>
  </si>
  <si>
    <t>OSP -diety</t>
  </si>
  <si>
    <t>90019 - wpływy i wydatki zwiazane z gromadzeniem opłat i kar za korzystanie ze środowiska ?</t>
  </si>
  <si>
    <t>przeciwdziałanie przemocy w rodzinie!!</t>
  </si>
  <si>
    <t>Przychody i rozchody budżetu w 2011 roku</t>
  </si>
  <si>
    <t>Kwota na
2011 rok</t>
  </si>
  <si>
    <t>2.029.648 EURO*4 zł=8.118.592 zł</t>
  </si>
  <si>
    <t xml:space="preserve">Spłaty kredytów otrzymanych na finansowanie zadań realizowanych z udziałem środków pochodzących z budżetu UE (kredyt z BOŚ) </t>
  </si>
  <si>
    <t>dotacje otrzymane z funduszy celowych na finansowanie lub dofinansowanie kosztów realizacji inwestycji i zakupów inwestycyjnych jednostek sektora finansów publicznych (dotacja z FRKF)</t>
  </si>
  <si>
    <t>KADRY - badania lekarskie</t>
  </si>
  <si>
    <r>
      <t xml:space="preserve">KADRY- </t>
    </r>
    <r>
      <rPr>
        <sz val="8"/>
        <rFont val="Times New Roman CE"/>
        <family val="0"/>
      </rPr>
      <t>okulary</t>
    </r>
  </si>
  <si>
    <t>KADRY - 15,19%</t>
  </si>
  <si>
    <t>KADRY - 2,45%</t>
  </si>
  <si>
    <t>Wydatki inwestycyjne jednostek budżetowych -  Wykonanie dokumentacji projektowej i realizacja parkingów przy MSZOZ, OSP i budynku komunalnym przy ul. Ks. Marmo</t>
  </si>
  <si>
    <t>Wydatki osobowe niezaliczone do wynagrodzeń</t>
  </si>
  <si>
    <t>Wydatki inwestycyjne jednostek budżetowych  -Wykonanie kompleksowej dokumentacji konserwatorskiej - Renowacja i adaptacja obiektu zabytkowego "Pałacyku przy ul. Rumuńskiej 2" na funkcję użyteczności publicznej</t>
  </si>
  <si>
    <t>WP- Wykonanie zaplecza obiektów sportowych i infrastruktury na terenie MKS Wicher Kobyłka wraz z realizacją</t>
  </si>
  <si>
    <t>Drogi publiczne powiatowe - dotacja celowa dla Starostwa Powiatu Wołomińskiego na pomoc finansową udzielaną między j.s.t. na dofinansowanie własnych zadań inwestycyjnych i zakupów inwestycyjnych - Przebudowa drogi powiatowej na odcinku ul. Mareckiej i ul. Zagańczyka wraz  z infrastrukturą towarzyszącą</t>
  </si>
  <si>
    <t>Drogi publiczne powiatowe - dotacja celowa dla Starostwa Powiatu Wołomińskiego na pomoc finansową udzielaną między j.s.t. na dofinansowanie własnych zadań inwestycyjnych i zakupów inwestycyjnych - Budowa chodnika w ul. Poniatowskiego wraz z modernizacją mostu na rzece Długiej</t>
  </si>
  <si>
    <t xml:space="preserve">Komendy powiatowe Państwowej Straży Pożarnej - dotacja celowa dla Starostwa Powiatu Wołomińskiego na pomoc finansową udzielaną między j.s.t. na dofinansowanie własnych zadań inwestycyjnych i zakupów inwestycyjnych </t>
  </si>
  <si>
    <t>Plan dochodów na 2011 rok (kol. 8+10)</t>
  </si>
  <si>
    <t>Planowane dochody budżetu Miasta Kobyłka na 2011 rok</t>
  </si>
  <si>
    <t>Zzwiększenie 700 zł</t>
  </si>
  <si>
    <t>dotacje celowe w ramach programów finansowanych z udziałem środków europejskich oraz środków o których mowa w art. 5 ust. 1 pkt 3 oraz ust. 3 pkt 5 i 6 ustawy, lub płatności w ramach budżetu środków europejskich</t>
  </si>
  <si>
    <t>6290</t>
  </si>
  <si>
    <t>A</t>
  </si>
  <si>
    <t>B</t>
  </si>
  <si>
    <t>C</t>
  </si>
  <si>
    <t>...</t>
  </si>
  <si>
    <r>
      <t>Wydatki inwestycyjne jednostek budżetowych poza FS- Wykonanie projektów i budowa sieci oraz odgałęzień kanalizacji sanitarnej zakończonych studzienkami -</t>
    </r>
    <r>
      <rPr>
        <sz val="8"/>
        <color indexed="10"/>
        <rFont val="Times New Roman CE"/>
        <family val="0"/>
      </rPr>
      <t xml:space="preserve"> projekty przyłączy kanalizacyjnych i budowa odgałęzień sieci kanalizacyjnej do posesji połozonych na terenie miasta</t>
    </r>
  </si>
  <si>
    <r>
      <t>Wydatki inwestycyjne jednostek budżetowych poza FS- Wykonanie projektów i budowa sieci oraz odgałęzień kanalizacji sanitarnej zakończonych studzienkami -</t>
    </r>
    <r>
      <rPr>
        <sz val="8"/>
        <color indexed="10"/>
        <rFont val="Times New Roman CE"/>
        <family val="0"/>
      </rPr>
      <t>projektowanie i wykonanie sieci i oraz odgałęzień sieci kanalizacyjnej do posesji połozonych na terenie miasta</t>
    </r>
  </si>
  <si>
    <r>
      <t>WI-ZWK</t>
    </r>
    <r>
      <rPr>
        <sz val="8"/>
        <rFont val="Times New Roman CE"/>
        <family val="1"/>
      </rPr>
      <t xml:space="preserve"> (Marlena) 600.000 - projekty przyłączy, 1.000.000 - budowa odgałęzień</t>
    </r>
  </si>
  <si>
    <t>Wykonanie projektów i budowa sieci oraz odgałęzień kanalizacji sanitarnej zakończonych studzienkami</t>
  </si>
  <si>
    <t>Plan wydatków na 2011 rok (kol. 7+8+9+10)</t>
  </si>
  <si>
    <r>
      <t xml:space="preserve">odsetki od pożyczki płatniczej zaciągniętej w NFOŚiGW na zadanie unijne - </t>
    </r>
    <r>
      <rPr>
        <b/>
        <i/>
        <sz val="9"/>
        <rFont val="Times New Roman CE"/>
        <family val="0"/>
      </rPr>
      <t>oprocentowanie 0,8 stopy redyskonta weksli lecz nie mniej niż 3,2%,  przyjeto: oprocentowanie 3,2%, kurs Euro- 4 zł</t>
    </r>
  </si>
  <si>
    <r>
      <t xml:space="preserve">Kredyty i pożczki nie zwiazane z zadaniem unijnym - </t>
    </r>
    <r>
      <rPr>
        <b/>
        <i/>
        <sz val="9"/>
        <rFont val="Times New Roman CE"/>
        <family val="0"/>
      </rPr>
      <t>nie kalkulowane przyjeto szacunkowo</t>
    </r>
  </si>
  <si>
    <r>
      <t xml:space="preserve">Kredyt na sfinansowanie przejściowego deficytu 1 mln - </t>
    </r>
    <r>
      <rPr>
        <b/>
        <i/>
        <sz val="9"/>
        <rFont val="Times New Roman CE"/>
        <family val="0"/>
      </rPr>
      <t>oprocentowanie 6% - wartość przyjęto szacunkowo</t>
    </r>
  </si>
  <si>
    <r>
      <t>SPŁATY RAT KREDYTÓW I POŻYCZEK</t>
    </r>
    <r>
      <rPr>
        <sz val="10"/>
        <rFont val="Times New Roman CE"/>
        <family val="1"/>
      </rPr>
      <t xml:space="preserve"> (bez kredytów i pożczek zaciągniętych na zadanie unijne oraz kredytu na pokrycie przejściowego deficytu) </t>
    </r>
    <r>
      <rPr>
        <b/>
        <sz val="10"/>
        <rFont val="Times New Roman CE"/>
        <family val="0"/>
      </rPr>
      <t>I ODSETEK</t>
    </r>
    <r>
      <rPr>
        <sz val="10"/>
        <rFont val="Times New Roman CE"/>
        <family val="1"/>
      </rPr>
      <t xml:space="preserve"> (tylko od kredytów i pożyczek nie zwiazanych z zadaniem uniijnym oraz od kredytu krótkoterminowego)</t>
    </r>
  </si>
  <si>
    <t>Art. 169 po uwzglednieniu wyłączeń z art. 169 ust 3 (stara ufp)</t>
  </si>
  <si>
    <t>bez odsetek od  kredytów i pozyczek zaciągnietych na zadanie unijne!</t>
  </si>
  <si>
    <r>
      <t xml:space="preserve">Spłaty kredytów </t>
    </r>
    <r>
      <rPr>
        <u val="single"/>
        <sz val="10"/>
        <rFont val="Times New Roman"/>
        <family val="1"/>
      </rPr>
      <t xml:space="preserve">nie związanych </t>
    </r>
    <r>
      <rPr>
        <sz val="10"/>
        <rFont val="Times New Roman"/>
        <family val="1"/>
      </rPr>
      <t>z finansowaniem zadań realizowanych z udziałem środków pochodzących z budżetu UE</t>
    </r>
  </si>
  <si>
    <t>RAZEM</t>
  </si>
  <si>
    <t>zmieniający załącznik nr 5</t>
  </si>
  <si>
    <t>Spłaty pożyczek otrzymanych na finansowanie zadań realizowanych z udziałem środków pochodzących z budżetu UE (pożyczka płatnicza z NFOŚiGW)</t>
  </si>
  <si>
    <t>851</t>
  </si>
  <si>
    <r>
      <t xml:space="preserve">Dotacja celowa na </t>
    </r>
    <r>
      <rPr>
        <sz val="8"/>
        <color indexed="14"/>
        <rFont val="Times New Roman CE"/>
        <family val="1"/>
      </rPr>
      <t>pomoc finansową</t>
    </r>
    <r>
      <rPr>
        <sz val="8"/>
        <rFont val="Times New Roman CE"/>
        <family val="1"/>
      </rPr>
      <t xml:space="preserve"> udzielaną między j.s.t. na dofinansowanie własnych zadań inwestycyjnych i zakupów inwestycyjnych - dofinansowanie Szpitala Powiatowego w Wołominie</t>
    </r>
  </si>
  <si>
    <t>Dotacja podmiotowa z budżetu dla samodzielnego publicznego zakładu opieki zdrowotnej utworzonego przez j.s.t - dotacja dla MSPZOZ w Kobyłce</t>
  </si>
  <si>
    <t>Plan po zmianach na 2010 rok</t>
  </si>
  <si>
    <t>Plan  na 2011rok (kol. 7+16)</t>
  </si>
  <si>
    <t>3020/z</t>
  </si>
  <si>
    <t>4410/z</t>
  </si>
  <si>
    <t>do uchwały Nr XII/122/11 Rady Miejskiej w Kobyłce z dnia 29.12.2011 r.</t>
  </si>
  <si>
    <t>4750/z</t>
  </si>
  <si>
    <t>6050/dw</t>
  </si>
  <si>
    <t>Wydatki inwestycyjne jednostek budżetowych -Modernizacja placu zabaw przy ZSP NR 2 oraz urządzanie placu zabaw przy ZSP Nr 3 w Kobyłce w ramach rządowego programu "Radosna Szkoła"- śr. własne</t>
  </si>
  <si>
    <t>WYDATKI MAJĄTKOWE</t>
  </si>
  <si>
    <t>Nazwa zadania inwestycyjnego</t>
  </si>
  <si>
    <t>środki pochodzące
z innych  źródeł*</t>
  </si>
  <si>
    <t>środki wymienione
w art. 5 ust. 1 pkt 2 i 3 u.f.p. **</t>
  </si>
  <si>
    <t>Budowa sieci wodociągowych ulicznych:</t>
  </si>
  <si>
    <t xml:space="preserve">Wykup gruntu </t>
  </si>
  <si>
    <t>Kanalizacja deszczowa:</t>
  </si>
  <si>
    <t xml:space="preserve">Dotacja celowa na pomoc finansową udzielaną między j.s.t. na dofinansowanie własnych zadań inwestycyjnych i zakupów inwestycyjnych </t>
  </si>
  <si>
    <t>Nabycie nieruchomości  położonej w Kobyłce, ul. Słowackiego 26</t>
  </si>
  <si>
    <t xml:space="preserve">dotacje i środki otrzymane na inwestycje </t>
  </si>
  <si>
    <t>PROJEKT PLANU FINANSOWEGO NA 2011 ROK</t>
  </si>
  <si>
    <t xml:space="preserve"> Plan wydatków na 2010 rok (po zmianach)</t>
  </si>
  <si>
    <t>Propozycje Wydziałów na 2011 rok</t>
  </si>
  <si>
    <t>Propozycja Burmistrza Miasta Kobyłka na 2011 rok</t>
  </si>
  <si>
    <t>Wydatki  inwestycyjne jednostek budżetowych -instalacja systemu monitoringu wewnętrznego i zewnętrznego budynku UM- śr. własne</t>
  </si>
  <si>
    <t>zmniejszenie 13.700</t>
  </si>
  <si>
    <t>zmniejszenie 23.500</t>
  </si>
  <si>
    <t>JS - dochody 100% -3.100zł, dochody BP-2.827 zł -95%, 100% 2.976 dochód gminy 5%</t>
  </si>
  <si>
    <r>
      <t>M Opłatek darowizny na kanalizację nie będziew 2011 ,</t>
    </r>
    <r>
      <rPr>
        <sz val="8"/>
        <color indexed="10"/>
        <rFont val="Times New Roman"/>
        <family val="1"/>
      </rPr>
      <t>paragraf</t>
    </r>
  </si>
  <si>
    <t>Pozostałe zadania w zakresie polityki społecznej</t>
  </si>
  <si>
    <t>AP. - Odsetki waloryzacyjne 6.480,17</t>
  </si>
  <si>
    <t>wpływy z usług  (ścieki)</t>
  </si>
  <si>
    <t>AP-300.000zł</t>
  </si>
  <si>
    <t>AP -4.600 zł podłączono do sieci miejskiej płatność do MPWIK</t>
  </si>
  <si>
    <t>pismo z KBW</t>
  </si>
  <si>
    <t>par 2360</t>
  </si>
  <si>
    <t>rozbiłam na par. 4170 4110 4120</t>
  </si>
  <si>
    <t>Zagrajmy o sukces</t>
  </si>
  <si>
    <t>Wydatki inwestycyjne jednostek budżetowych - Wykonanie projektu budowy boiska, infrastruktury i zaplecza obiektów sportowych na terenie MKS Wicher Kobyłka wraz z realizacją</t>
  </si>
  <si>
    <t>zmiana na 2360</t>
  </si>
  <si>
    <t>Basia</t>
  </si>
  <si>
    <t>Wydatki inwestycyjne jednostek budżetowych - montaż centrali telefonicznej wraz z osprzętem- śr. własne</t>
  </si>
  <si>
    <t>Wydatki  inwestycyjne jednostek budżetowych - klimatyzacja w Sali konferencyjnej i w gabinecie Burmistrza- śr. własne</t>
  </si>
  <si>
    <t>do uchwały Nr /11 Rady Miejskiej w Kobyłce z dnia</t>
  </si>
  <si>
    <t>zmieniający tabelę nr 2a</t>
  </si>
  <si>
    <t xml:space="preserve">Wpływy i wydatki związane z gromadzeniem środków z opłat i kar za korzystanie ze środowiska </t>
  </si>
  <si>
    <t>Wydatki inwestycyjne jednostek budżetowych -Budowa wielofunkcyjnego boiska sportowego z nawierzchnią sztuczną i ogrodzeniem na terenie Zespołu Szkół Publicznych  Nr 3 w Kobyłce</t>
  </si>
  <si>
    <t>Wydatki inwestycyjne jednostek budżetowych -Budowa oświetlenia boiska na terenie Zespołu Szkół Publicznych  Nr 3 w Kobyłce</t>
  </si>
  <si>
    <t>Wydatki inwestycyjne jednostek budżetowych -Zwiększenie dostępu do kształcenia osób niepełnosprawnych na terenie Gminy Kobyłka poprzez zakup i montaż platform schodowych w budynku Zespołu Szkół Publicznych Nr 2 w Kobyłce</t>
  </si>
  <si>
    <t>Wydatki inwestycyjne jednostek budżetowych -Rozbudowa i przebudowa budynku Zespołu Szkół Publicznych Nr 2 w Kobyłce</t>
  </si>
  <si>
    <t>Wybory Prezydenta Rzeczypospolitej</t>
  </si>
  <si>
    <t>752</t>
  </si>
  <si>
    <t>3030/dw</t>
  </si>
  <si>
    <t>6060/dw</t>
  </si>
  <si>
    <r>
      <t xml:space="preserve">Dotacja celowa na </t>
    </r>
    <r>
      <rPr>
        <sz val="8"/>
        <color indexed="14"/>
        <rFont val="Times New Roman CE"/>
        <family val="1"/>
      </rPr>
      <t>pomoc finansową</t>
    </r>
    <r>
      <rPr>
        <sz val="8"/>
        <rFont val="Times New Roman CE"/>
        <family val="1"/>
      </rPr>
      <t xml:space="preserve"> udzielaną między j.s.t. na dofinansowanie własnych zadań inwestycyjnych i zakupów inwestycyjnych - Budowa chodnika i miejsc parkingowych przy ul. Napoleona</t>
    </r>
  </si>
  <si>
    <t xml:space="preserve">dochody jednostek samorządu terytorialnego związane z realizacją zadań z zakresu administracji rządowej oraz innych zadań zleconych ustawami </t>
  </si>
  <si>
    <t>Wydatki inwestycyjne jednostek budżetowych - budowa zatoki parkingowej i remont fragmentu chodnika w ul. Napoleona</t>
  </si>
  <si>
    <t>Wydatki inwestycyjne jednostek budżetowych - budowa zatoki postojowej przy ul. J. Pawła II</t>
  </si>
  <si>
    <t xml:space="preserve"> Plan wydatków na 2010 rok</t>
  </si>
  <si>
    <t>Projekt BMK na 2011/plan 2010</t>
  </si>
  <si>
    <t>Wydatki inwestycyjne jednostek budżetowych - Zwiekszenie dostępu do rehabilitacji leczniczej i medycznej osób niepełnosprawnych na terenie Gminy Kobyłka dzięki likwidacji barier architektonicznych w budynku MSPZOZ w Kobyłce</t>
  </si>
  <si>
    <t>Wydatki na zakupy inwestycyjne jednostek budżetowych - Zakup słupów ogłoszeniowych</t>
  </si>
  <si>
    <t xml:space="preserve">Wydatki na zakupy inwestycyjne jednostek budżetowych </t>
  </si>
  <si>
    <t>Załącznik nr 4</t>
  </si>
  <si>
    <t xml:space="preserve">c) dochody (dotacje) na realizację zadań realizowanych w drodze umów i porozumień między jednostkami samorządu terytorialnego </t>
  </si>
  <si>
    <t>4300/z</t>
  </si>
  <si>
    <t>4740/z</t>
  </si>
  <si>
    <r>
      <t xml:space="preserve">WOW -energia elekt. 60.000, gaz 40.000, </t>
    </r>
    <r>
      <rPr>
        <sz val="8"/>
        <color indexed="10"/>
        <rFont val="Times New Roman CE"/>
        <family val="0"/>
      </rPr>
      <t>woda 4.000</t>
    </r>
  </si>
  <si>
    <r>
      <t xml:space="preserve">przeniesiono do </t>
    </r>
    <r>
      <rPr>
        <sz val="8"/>
        <rFont val="Times New Roman"/>
        <family val="1"/>
      </rPr>
      <t>§</t>
    </r>
    <r>
      <rPr>
        <sz val="8"/>
        <rFont val="Times New Roman CE"/>
        <family val="1"/>
      </rPr>
      <t xml:space="preserve"> 4210</t>
    </r>
  </si>
  <si>
    <t>pozostałe wydatki bieżące na realizację zadań statutowych</t>
  </si>
  <si>
    <t>wynagrodzenia i składki od nich naliczane</t>
  </si>
  <si>
    <t>8.</t>
  </si>
  <si>
    <t>DANE  ZBIORCZE</t>
  </si>
  <si>
    <t>UM</t>
  </si>
  <si>
    <t>ZSP1</t>
  </si>
  <si>
    <t>ZSP2</t>
  </si>
  <si>
    <t>ZSP3</t>
  </si>
  <si>
    <t>PRZEDSZKOLE NR1</t>
  </si>
  <si>
    <t>OPS</t>
  </si>
  <si>
    <t>Razem wydatki</t>
  </si>
  <si>
    <t>Rozchody</t>
  </si>
  <si>
    <t>WYNIK (dochody+przychody-wydatki-rozchody)</t>
  </si>
  <si>
    <t>zmiana 14.10.10 ZMNIEJSZENIE 50.000 zł</t>
  </si>
  <si>
    <r>
      <t>OPS fundusz alimentacyjny</t>
    </r>
    <r>
      <rPr>
        <sz val="8"/>
        <color indexed="10"/>
        <rFont val="Times New Roman"/>
        <family val="1"/>
      </rPr>
      <t xml:space="preserve"> + zal aliment</t>
    </r>
  </si>
  <si>
    <t>pozostałe odsetki  (odsetki od środków na rachunkach bankowych Urzędu)</t>
  </si>
  <si>
    <t>wpływy z innych lokalnych opłat pobieranych przez  j. s. t. na podstawie odrębnych ustaw  - opłaty za zajęcie pasa drogowego, renta planistyczna, opłata adiacencka</t>
  </si>
  <si>
    <t>Szpitale ogólne - dotacja celowa dla Starostwa Powiatu Wołomińskiego na pomoc finansową udzielaną między jednostkami samorządu terytorialnego na dofinansowanie własnych zadań inwestycyjnych i zakupów inwestycyjnych - pomoc finansowa dla Szpitala Powiatowego w Wołominie</t>
  </si>
  <si>
    <r>
      <t>Dotacja celowa na</t>
    </r>
    <r>
      <rPr>
        <sz val="8"/>
        <color indexed="14"/>
        <rFont val="Times New Roman CE"/>
        <family val="0"/>
      </rPr>
      <t xml:space="preserve"> pomoc finansową </t>
    </r>
    <r>
      <rPr>
        <sz val="8"/>
        <rFont val="Times New Roman CE"/>
        <family val="1"/>
      </rPr>
      <t>udzielaną między j.s.t. na dofinansowanie własnych zadań inwestycyjnych i zakupów inwestycyjnych - "Przebudowa drogi powiatowej  Nr 4352W na odcinku ul. Mareckiej, Zagańczyka, Załuskiego w Kobyłce wraz z infrastrukturą drogową"</t>
    </r>
  </si>
  <si>
    <t>WOW i KADRY-30.000</t>
  </si>
  <si>
    <t>KADRY-15.000, WESS-14.400 zł animator sportu</t>
  </si>
  <si>
    <t>WP - 2011 rok -Chopina, Matejki, Szpotańskiego, Asnyka</t>
  </si>
  <si>
    <t>WESS +4740 i 4750</t>
  </si>
  <si>
    <t>WESS dochody z zezwoleń na sprzedaż alkoholu 235.000</t>
  </si>
  <si>
    <t>WESS - profilaktyka RSM (raka szyjki macicy)</t>
  </si>
  <si>
    <t>WESS przesunięto srodki do 80195</t>
  </si>
  <si>
    <t>Pomoc społeczna (pozostała działalność)</t>
  </si>
  <si>
    <t>1) Dotacje ogółem , w tym :</t>
  </si>
  <si>
    <t>/ w zł/</t>
  </si>
  <si>
    <t>podmiotowej</t>
  </si>
  <si>
    <t>przedmiotowej</t>
  </si>
  <si>
    <t>celowej</t>
  </si>
  <si>
    <t>Jednostka realizująca</t>
  </si>
  <si>
    <t>Starostwo Powiatu Wołomińskiego</t>
  </si>
  <si>
    <t>Przychody</t>
  </si>
  <si>
    <t>URZĄD  MIASTA  KOBYŁKA</t>
  </si>
  <si>
    <t>WYDATKI</t>
  </si>
  <si>
    <t>Wpłaty gmin na rzecz izb rolniczych w wysokości 2% uzyskanych wpływów z podatku rolnego</t>
  </si>
  <si>
    <t>funkcja 2% pod. rolnego</t>
  </si>
  <si>
    <t>razem</t>
  </si>
  <si>
    <t>400</t>
  </si>
  <si>
    <t>600</t>
  </si>
  <si>
    <t>Zakup usług pozostałych</t>
  </si>
  <si>
    <t xml:space="preserve">ZSP1+ZSP2+ZSP3+P1 WESS 1% od wynagrodzeń nauczycieli , </t>
  </si>
  <si>
    <t>WI</t>
  </si>
  <si>
    <t>Zakup materiałów i wyposażenia</t>
  </si>
  <si>
    <t>Zakup usług remontowych</t>
  </si>
  <si>
    <t>Różne opłaty i składki</t>
  </si>
  <si>
    <t>Transport i łączność</t>
  </si>
  <si>
    <t>700</t>
  </si>
  <si>
    <t>Wynagrodzenia bezosobowe</t>
  </si>
  <si>
    <t>budynki mieszkalne</t>
  </si>
  <si>
    <t>Zakup energii</t>
  </si>
  <si>
    <t>Podatek od towarów i usług (VAT)</t>
  </si>
  <si>
    <t>wpływy z różnych opłat</t>
  </si>
  <si>
    <t>0830</t>
  </si>
  <si>
    <t xml:space="preserve">wpływy z usług </t>
  </si>
  <si>
    <t>0920</t>
  </si>
  <si>
    <t>pozostałe odsetki</t>
  </si>
  <si>
    <t>0960</t>
  </si>
  <si>
    <t>otrzymane spadki, zapisy i darowizny w postaci pieniężnej</t>
  </si>
  <si>
    <t>razem rozdział</t>
  </si>
  <si>
    <t xml:space="preserve">razem dział </t>
  </si>
  <si>
    <t>Różne jednostki obsługi gospodarki mieszkaniowej</t>
  </si>
  <si>
    <t>0750</t>
  </si>
  <si>
    <t>dochody z najmu lokali mieszkalnych</t>
  </si>
  <si>
    <t>Gospodarka gruntami i nieruchomościami</t>
  </si>
  <si>
    <t>0470</t>
  </si>
  <si>
    <t>wpływy z opłat za użytkowanie wieczyste nieruchomości</t>
  </si>
  <si>
    <t>0770</t>
  </si>
  <si>
    <t>wpływy z tytułu odpłatnego nabycia prawa własności oraz prawa użytkowania wieczystego nieruchomości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</si>
  <si>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</si>
  <si>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</si>
  <si>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</si>
  <si>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2360</t>
  </si>
  <si>
    <t>Urzędy gmin (miast i miast na prawach powiatu)</t>
  </si>
  <si>
    <t>0970</t>
  </si>
  <si>
    <t>5.</t>
  </si>
  <si>
    <t>Prywatyzacja majątku j.s.t.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</si>
  <si>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</si>
  <si>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</si>
  <si>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</si>
  <si>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</si>
  <si>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</si>
  <si>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</si>
  <si>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</si>
  <si>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§ 955</t>
  </si>
  <si>
    <t>Rozchody ogółem:</t>
  </si>
  <si>
    <t>§ 992</t>
  </si>
  <si>
    <t>§ 963</t>
  </si>
  <si>
    <t>Udzielone pożyczki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</si>
</sst>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2">
    <font>
      <sz val="10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sz val="9"/>
      <name val="Times New Roman CE"/>
      <family val="1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sz val="10"/>
      <color indexed="10"/>
      <name val="Times New Roman CE"/>
      <family val="1"/>
    </font>
    <font>
      <i/>
      <sz val="10"/>
      <name val="Times New Roman CE"/>
      <family val="1"/>
    </font>
    <font>
      <sz val="11"/>
      <name val="Times New Roman"/>
      <family val="1"/>
    </font>
    <font>
      <sz val="7"/>
      <name val="Times New Roman CE"/>
      <family val="1"/>
    </font>
    <font>
      <sz val="7"/>
      <color indexed="10"/>
      <name val="Times New Roman CE"/>
      <family val="1"/>
    </font>
    <font>
      <sz val="8"/>
      <color indexed="14"/>
      <name val="Times New Roman CE"/>
      <family val="1"/>
    </font>
    <font>
      <sz val="8"/>
      <color indexed="10"/>
      <name val="Times New Roman CE"/>
      <family val="1"/>
    </font>
    <font>
      <b/>
      <i/>
      <sz val="10"/>
      <name val="Times New Roman CE"/>
      <family val="1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6"/>
      <name val="Times New Roman CE"/>
      <family val="0"/>
    </font>
    <font>
      <sz val="6"/>
      <name val="Times New Roman CE"/>
      <family val="0"/>
    </font>
    <font>
      <b/>
      <u val="single"/>
      <sz val="8"/>
      <name val="Times New Roman CE"/>
      <family val="1"/>
    </font>
    <font>
      <b/>
      <i/>
      <sz val="8"/>
      <name val="Times New Roman CE"/>
      <family val="1"/>
    </font>
    <font>
      <sz val="8"/>
      <color indexed="12"/>
      <name val="Times New Roman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u val="single"/>
      <sz val="8"/>
      <name val="Times New Roman CE"/>
      <family val="0"/>
    </font>
    <font>
      <b/>
      <sz val="8"/>
      <color indexed="10"/>
      <name val="Times New Roman CE"/>
      <family val="0"/>
    </font>
    <font>
      <b/>
      <i/>
      <sz val="10"/>
      <color indexed="10"/>
      <name val="Times New Roman CE"/>
      <family val="0"/>
    </font>
    <font>
      <u val="single"/>
      <sz val="8"/>
      <color indexed="10"/>
      <name val="Times New Roman CE"/>
      <family val="0"/>
    </font>
    <font>
      <i/>
      <sz val="9"/>
      <name val="Times New Roman CE"/>
      <family val="0"/>
    </font>
    <font>
      <b/>
      <i/>
      <u val="single"/>
      <sz val="9"/>
      <name val="Times New Roman CE"/>
      <family val="0"/>
    </font>
    <font>
      <b/>
      <i/>
      <sz val="9"/>
      <name val="Times New Roman CE"/>
      <family val="0"/>
    </font>
    <font>
      <b/>
      <i/>
      <sz val="9"/>
      <color indexed="10"/>
      <name val="Times New Roman CE"/>
      <family val="0"/>
    </font>
    <font>
      <i/>
      <u val="single"/>
      <sz val="9"/>
      <name val="Times New Roman CE"/>
      <family val="0"/>
    </font>
    <font>
      <u val="single"/>
      <sz val="10"/>
      <name val="Times New Roman"/>
      <family val="1"/>
    </font>
    <font>
      <b/>
      <sz val="12"/>
      <name val="Times New Roman CE"/>
      <family val="1"/>
    </font>
    <font>
      <b/>
      <sz val="10"/>
      <color indexed="12"/>
      <name val="Times New Roman CE"/>
      <family val="0"/>
    </font>
    <font>
      <sz val="12"/>
      <name val="Times New Roman"/>
      <family val="1"/>
    </font>
    <font>
      <b/>
      <i/>
      <sz val="6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5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91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19" fillId="2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3" fontId="19" fillId="24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24" borderId="0" xfId="0" applyNumberFormat="1" applyFont="1" applyFill="1" applyBorder="1" applyAlignment="1">
      <alignment horizontal="right" vertical="top"/>
    </xf>
    <xf numFmtId="10" fontId="19" fillId="0" borderId="0" xfId="0" applyNumberFormat="1" applyFont="1" applyFill="1" applyBorder="1" applyAlignment="1">
      <alignment horizontal="right" vertical="top"/>
    </xf>
    <xf numFmtId="3" fontId="19" fillId="20" borderId="10" xfId="0" applyNumberFormat="1" applyFont="1" applyFill="1" applyBorder="1" applyAlignment="1">
      <alignment horizontal="right" vertical="top"/>
    </xf>
    <xf numFmtId="3" fontId="19" fillId="20" borderId="1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top" wrapText="1"/>
    </xf>
    <xf numFmtId="3" fontId="19" fillId="24" borderId="0" xfId="0" applyNumberFormat="1" applyFont="1" applyFill="1" applyAlignment="1">
      <alignment horizontal="right" vertical="top"/>
    </xf>
    <xf numFmtId="3" fontId="19" fillId="0" borderId="0" xfId="0" applyNumberFormat="1" applyFont="1" applyFill="1" applyAlignment="1">
      <alignment horizontal="right" vertical="top"/>
    </xf>
    <xf numFmtId="10" fontId="0" fillId="0" borderId="0" xfId="0" applyNumberFormat="1" applyFont="1" applyFill="1" applyAlignment="1">
      <alignment horizontal="right" vertical="top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right" vertical="center"/>
    </xf>
    <xf numFmtId="3" fontId="19" fillId="20" borderId="12" xfId="0" applyNumberFormat="1" applyFont="1" applyFill="1" applyBorder="1" applyAlignment="1">
      <alignment horizontal="right" vertical="center"/>
    </xf>
    <xf numFmtId="10" fontId="23" fillId="2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25" borderId="10" xfId="0" applyNumberFormat="1" applyFont="1" applyFill="1" applyBorder="1" applyAlignment="1">
      <alignment horizontal="right" vertical="top"/>
    </xf>
    <xf numFmtId="3" fontId="19" fillId="25" borderId="11" xfId="0" applyNumberFormat="1" applyFont="1" applyFill="1" applyBorder="1" applyAlignment="1">
      <alignment horizontal="right" vertical="top"/>
    </xf>
    <xf numFmtId="3" fontId="19" fillId="25" borderId="12" xfId="0" applyNumberFormat="1" applyFont="1" applyFill="1" applyBorder="1" applyAlignment="1">
      <alignment horizontal="right" vertical="top"/>
    </xf>
    <xf numFmtId="10" fontId="0" fillId="25" borderId="13" xfId="0" applyNumberFormat="1" applyFont="1" applyFill="1" applyBorder="1" applyAlignment="1">
      <alignment horizontal="right" vertical="top"/>
    </xf>
    <xf numFmtId="3" fontId="19" fillId="0" borderId="14" xfId="0" applyNumberFormat="1" applyFont="1" applyFill="1" applyBorder="1" applyAlignment="1">
      <alignment horizontal="right" vertical="top"/>
    </xf>
    <xf numFmtId="3" fontId="19" fillId="0" borderId="15" xfId="0" applyNumberFormat="1" applyFont="1" applyFill="1" applyBorder="1" applyAlignment="1">
      <alignment horizontal="right" vertical="top"/>
    </xf>
    <xf numFmtId="10" fontId="0" fillId="0" borderId="16" xfId="0" applyNumberFormat="1" applyFont="1" applyFill="1" applyBorder="1" applyAlignment="1">
      <alignment horizontal="right" vertical="top"/>
    </xf>
    <xf numFmtId="3" fontId="19" fillId="0" borderId="17" xfId="0" applyNumberFormat="1" applyFont="1" applyFill="1" applyBorder="1" applyAlignment="1">
      <alignment horizontal="right" vertical="top"/>
    </xf>
    <xf numFmtId="3" fontId="19" fillId="0" borderId="18" xfId="0" applyNumberFormat="1" applyFont="1" applyFill="1" applyBorder="1" applyAlignment="1">
      <alignment horizontal="right" vertical="top"/>
    </xf>
    <xf numFmtId="10" fontId="0" fillId="0" borderId="19" xfId="0" applyNumberFormat="1" applyFont="1" applyFill="1" applyBorder="1" applyAlignment="1">
      <alignment horizontal="right" vertical="top"/>
    </xf>
    <xf numFmtId="3" fontId="19" fillId="0" borderId="20" xfId="0" applyNumberFormat="1" applyFont="1" applyFill="1" applyBorder="1" applyAlignment="1">
      <alignment horizontal="right" vertical="top"/>
    </xf>
    <xf numFmtId="3" fontId="19" fillId="0" borderId="21" xfId="0" applyNumberFormat="1" applyFont="1" applyFill="1" applyBorder="1" applyAlignment="1">
      <alignment horizontal="right" vertical="top"/>
    </xf>
    <xf numFmtId="10" fontId="0" fillId="0" borderId="22" xfId="0" applyNumberFormat="1" applyFont="1" applyFill="1" applyBorder="1" applyAlignment="1">
      <alignment horizontal="right" vertical="top"/>
    </xf>
    <xf numFmtId="3" fontId="30" fillId="0" borderId="14" xfId="0" applyNumberFormat="1" applyFont="1" applyFill="1" applyBorder="1" applyAlignment="1">
      <alignment horizontal="right" vertical="top"/>
    </xf>
    <xf numFmtId="3" fontId="30" fillId="0" borderId="15" xfId="0" applyNumberFormat="1" applyFont="1" applyFill="1" applyBorder="1" applyAlignment="1">
      <alignment horizontal="right" vertical="top"/>
    </xf>
    <xf numFmtId="3" fontId="30" fillId="0" borderId="17" xfId="0" applyNumberFormat="1" applyFont="1" applyFill="1" applyBorder="1" applyAlignment="1">
      <alignment horizontal="right" vertical="top"/>
    </xf>
    <xf numFmtId="3" fontId="30" fillId="0" borderId="18" xfId="0" applyNumberFormat="1" applyFont="1" applyFill="1" applyBorder="1" applyAlignment="1">
      <alignment horizontal="right" vertical="top"/>
    </xf>
    <xf numFmtId="3" fontId="30" fillId="0" borderId="20" xfId="0" applyNumberFormat="1" applyFont="1" applyFill="1" applyBorder="1" applyAlignment="1">
      <alignment horizontal="right" vertical="top"/>
    </xf>
    <xf numFmtId="3" fontId="30" fillId="0" borderId="21" xfId="0" applyNumberFormat="1" applyFont="1" applyFill="1" applyBorder="1" applyAlignment="1">
      <alignment horizontal="right" vertical="top"/>
    </xf>
    <xf numFmtId="3" fontId="19" fillId="20" borderId="12" xfId="0" applyNumberFormat="1" applyFont="1" applyFill="1" applyBorder="1" applyAlignment="1">
      <alignment horizontal="right" vertical="top"/>
    </xf>
    <xf numFmtId="10" fontId="19" fillId="20" borderId="1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0" fontId="0" fillId="0" borderId="0" xfId="0" applyNumberFormat="1" applyAlignment="1">
      <alignment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18" xfId="0" applyFont="1" applyBorder="1" applyAlignment="1">
      <alignment horizontal="center" vertical="top"/>
    </xf>
    <xf numFmtId="0" fontId="33" fillId="0" borderId="15" xfId="0" applyFont="1" applyBorder="1" applyAlignment="1">
      <alignment horizontal="center" vertical="top"/>
    </xf>
    <xf numFmtId="49" fontId="33" fillId="0" borderId="18" xfId="0" applyNumberFormat="1" applyFont="1" applyBorder="1" applyAlignment="1">
      <alignment horizontal="center" vertical="top"/>
    </xf>
    <xf numFmtId="0" fontId="33" fillId="0" borderId="0" xfId="0" applyFont="1" applyAlignment="1">
      <alignment/>
    </xf>
    <xf numFmtId="0" fontId="22" fillId="0" borderId="0" xfId="0" applyFont="1" applyAlignment="1">
      <alignment/>
    </xf>
    <xf numFmtId="10" fontId="33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3" fontId="20" fillId="0" borderId="0" xfId="0" applyNumberFormat="1" applyFont="1" applyAlignment="1">
      <alignment horizontal="right" vertical="top"/>
    </xf>
    <xf numFmtId="0" fontId="19" fillId="20" borderId="18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20" borderId="18" xfId="0" applyFont="1" applyFill="1" applyBorder="1" applyAlignment="1">
      <alignment vertical="center"/>
    </xf>
    <xf numFmtId="0" fontId="38" fillId="20" borderId="18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33" fillId="0" borderId="18" xfId="0" applyNumberFormat="1" applyFont="1" applyBorder="1" applyAlignment="1">
      <alignment vertical="top"/>
    </xf>
    <xf numFmtId="0" fontId="43" fillId="0" borderId="0" xfId="0" applyFont="1" applyAlignment="1">
      <alignment vertical="center"/>
    </xf>
    <xf numFmtId="0" fontId="32" fillId="0" borderId="0" xfId="0" applyFont="1" applyAlignment="1">
      <alignment horizontal="left" wrapText="1"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2" fillId="0" borderId="0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left" vertical="top" wrapText="1"/>
    </xf>
    <xf numFmtId="3" fontId="33" fillId="0" borderId="0" xfId="0" applyNumberFormat="1" applyFont="1" applyBorder="1" applyAlignment="1">
      <alignment vertical="top"/>
    </xf>
    <xf numFmtId="49" fontId="22" fillId="0" borderId="18" xfId="0" applyNumberFormat="1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 wrapText="1"/>
    </xf>
    <xf numFmtId="3" fontId="22" fillId="0" borderId="18" xfId="0" applyNumberFormat="1" applyFont="1" applyBorder="1" applyAlignment="1">
      <alignment horizontal="center" vertical="top" wrapText="1"/>
    </xf>
    <xf numFmtId="0" fontId="32" fillId="0" borderId="18" xfId="0" applyFont="1" applyBorder="1" applyAlignment="1">
      <alignment horizontal="left" vertical="top" wrapText="1"/>
    </xf>
    <xf numFmtId="10" fontId="33" fillId="0" borderId="18" xfId="0" applyNumberFormat="1" applyFont="1" applyBorder="1" applyAlignment="1">
      <alignment vertical="top"/>
    </xf>
    <xf numFmtId="49" fontId="22" fillId="6" borderId="18" xfId="0" applyNumberFormat="1" applyFont="1" applyFill="1" applyBorder="1" applyAlignment="1">
      <alignment horizontal="center" vertical="top"/>
    </xf>
    <xf numFmtId="0" fontId="22" fillId="6" borderId="18" xfId="0" applyFont="1" applyFill="1" applyBorder="1" applyAlignment="1">
      <alignment horizontal="center" vertical="top"/>
    </xf>
    <xf numFmtId="0" fontId="39" fillId="6" borderId="18" xfId="0" applyFont="1" applyFill="1" applyBorder="1" applyAlignment="1">
      <alignment horizontal="left" vertical="top" wrapText="1"/>
    </xf>
    <xf numFmtId="3" fontId="22" fillId="6" borderId="18" xfId="0" applyNumberFormat="1" applyFont="1" applyFill="1" applyBorder="1" applyAlignment="1">
      <alignment vertical="top"/>
    </xf>
    <xf numFmtId="49" fontId="22" fillId="20" borderId="18" xfId="0" applyNumberFormat="1" applyFont="1" applyFill="1" applyBorder="1" applyAlignment="1">
      <alignment horizontal="center" vertical="top"/>
    </xf>
    <xf numFmtId="0" fontId="22" fillId="20" borderId="18" xfId="0" applyFont="1" applyFill="1" applyBorder="1" applyAlignment="1">
      <alignment horizontal="center" vertical="top"/>
    </xf>
    <xf numFmtId="0" fontId="39" fillId="20" borderId="18" xfId="0" applyFont="1" applyFill="1" applyBorder="1" applyAlignment="1">
      <alignment horizontal="left" vertical="top" wrapText="1"/>
    </xf>
    <xf numFmtId="3" fontId="22" fillId="20" borderId="18" xfId="0" applyNumberFormat="1" applyFont="1" applyFill="1" applyBorder="1" applyAlignment="1">
      <alignment vertical="top"/>
    </xf>
    <xf numFmtId="10" fontId="22" fillId="20" borderId="18" xfId="0" applyNumberFormat="1" applyFont="1" applyFill="1" applyBorder="1" applyAlignment="1">
      <alignment vertical="top"/>
    </xf>
    <xf numFmtId="0" fontId="33" fillId="7" borderId="18" xfId="0" applyFont="1" applyFill="1" applyBorder="1" applyAlignment="1">
      <alignment horizontal="center" vertical="top"/>
    </xf>
    <xf numFmtId="0" fontId="32" fillId="7" borderId="18" xfId="0" applyFont="1" applyFill="1" applyBorder="1" applyAlignment="1">
      <alignment horizontal="left" vertical="top" wrapText="1"/>
    </xf>
    <xf numFmtId="3" fontId="33" fillId="0" borderId="18" xfId="0" applyNumberFormat="1" applyFont="1" applyFill="1" applyBorder="1" applyAlignment="1">
      <alignment vertical="top"/>
    </xf>
    <xf numFmtId="49" fontId="33" fillId="0" borderId="18" xfId="0" applyNumberFormat="1" applyFont="1" applyFill="1" applyBorder="1" applyAlignment="1">
      <alignment horizontal="center" vertical="top"/>
    </xf>
    <xf numFmtId="0" fontId="33" fillId="0" borderId="18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32" fillId="8" borderId="18" xfId="0" applyFont="1" applyFill="1" applyBorder="1" applyAlignment="1">
      <alignment horizontal="left" vertical="top" wrapText="1"/>
    </xf>
    <xf numFmtId="0" fontId="33" fillId="4" borderId="18" xfId="0" applyFont="1" applyFill="1" applyBorder="1" applyAlignment="1">
      <alignment horizontal="center" vertical="top"/>
    </xf>
    <xf numFmtId="0" fontId="32" fillId="4" borderId="18" xfId="0" applyFont="1" applyFill="1" applyBorder="1" applyAlignment="1">
      <alignment horizontal="left" vertical="top" wrapText="1"/>
    </xf>
    <xf numFmtId="0" fontId="32" fillId="25" borderId="18" xfId="0" applyFont="1" applyFill="1" applyBorder="1" applyAlignment="1">
      <alignment horizontal="left" vertical="top" wrapText="1"/>
    </xf>
    <xf numFmtId="3" fontId="33" fillId="24" borderId="18" xfId="0" applyNumberFormat="1" applyFont="1" applyFill="1" applyBorder="1" applyAlignment="1">
      <alignment vertical="top"/>
    </xf>
    <xf numFmtId="0" fontId="45" fillId="0" borderId="0" xfId="0" applyFont="1" applyAlignment="1">
      <alignment vertical="top"/>
    </xf>
    <xf numFmtId="0" fontId="32" fillId="0" borderId="18" xfId="0" applyFont="1" applyFill="1" applyBorder="1" applyAlignment="1">
      <alignment horizontal="left" vertical="top" wrapText="1"/>
    </xf>
    <xf numFmtId="49" fontId="33" fillId="24" borderId="18" xfId="0" applyNumberFormat="1" applyFont="1" applyFill="1" applyBorder="1" applyAlignment="1">
      <alignment horizontal="center" vertical="top"/>
    </xf>
    <xf numFmtId="0" fontId="33" fillId="24" borderId="18" xfId="0" applyFont="1" applyFill="1" applyBorder="1" applyAlignment="1">
      <alignment horizontal="center" vertical="top"/>
    </xf>
    <xf numFmtId="0" fontId="4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33" fillId="22" borderId="18" xfId="0" applyFont="1" applyFill="1" applyBorder="1" applyAlignment="1">
      <alignment horizontal="center" vertical="top"/>
    </xf>
    <xf numFmtId="0" fontId="32" fillId="22" borderId="18" xfId="0" applyFont="1" applyFill="1" applyBorder="1" applyAlignment="1">
      <alignment horizontal="left" vertical="top" wrapText="1"/>
    </xf>
    <xf numFmtId="0" fontId="33" fillId="8" borderId="18" xfId="0" applyFont="1" applyFill="1" applyBorder="1" applyAlignment="1">
      <alignment horizontal="center" vertical="top"/>
    </xf>
    <xf numFmtId="3" fontId="22" fillId="21" borderId="18" xfId="0" applyNumberFormat="1" applyFont="1" applyFill="1" applyBorder="1" applyAlignment="1">
      <alignment vertical="top"/>
    </xf>
    <xf numFmtId="49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vertical="top"/>
    </xf>
    <xf numFmtId="0" fontId="33" fillId="0" borderId="0" xfId="0" applyFont="1" applyAlignment="1">
      <alignment wrapText="1"/>
    </xf>
    <xf numFmtId="0" fontId="22" fillId="0" borderId="0" xfId="0" applyFont="1" applyAlignment="1">
      <alignment/>
    </xf>
    <xf numFmtId="0" fontId="33" fillId="0" borderId="0" xfId="0" applyFont="1" applyAlignment="1">
      <alignment horizontal="right"/>
    </xf>
    <xf numFmtId="49" fontId="33" fillId="0" borderId="0" xfId="0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left" vertical="top"/>
    </xf>
    <xf numFmtId="3" fontId="33" fillId="0" borderId="0" xfId="0" applyNumberFormat="1" applyFont="1" applyFill="1" applyBorder="1" applyAlignment="1">
      <alignment vertical="top"/>
    </xf>
    <xf numFmtId="49" fontId="39" fillId="0" borderId="0" xfId="0" applyNumberFormat="1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vertical="top"/>
    </xf>
    <xf numFmtId="10" fontId="4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49" fontId="39" fillId="0" borderId="18" xfId="0" applyNumberFormat="1" applyFont="1" applyBorder="1" applyAlignment="1">
      <alignment horizontal="left" vertical="top" wrapText="1"/>
    </xf>
    <xf numFmtId="3" fontId="22" fillId="0" borderId="18" xfId="0" applyNumberFormat="1" applyFont="1" applyBorder="1" applyAlignment="1">
      <alignment vertical="top"/>
    </xf>
    <xf numFmtId="10" fontId="22" fillId="0" borderId="18" xfId="0" applyNumberFormat="1" applyFont="1" applyBorder="1" applyAlignment="1">
      <alignment vertical="top"/>
    </xf>
    <xf numFmtId="49" fontId="39" fillId="20" borderId="18" xfId="0" applyNumberFormat="1" applyFont="1" applyFill="1" applyBorder="1" applyAlignment="1">
      <alignment horizontal="left" vertical="top" wrapText="1"/>
    </xf>
    <xf numFmtId="3" fontId="41" fillId="0" borderId="0" xfId="0" applyNumberFormat="1" applyFont="1" applyAlignment="1">
      <alignment vertical="top"/>
    </xf>
    <xf numFmtId="3" fontId="22" fillId="24" borderId="18" xfId="0" applyNumberFormat="1" applyFont="1" applyFill="1" applyBorder="1" applyAlignment="1">
      <alignment/>
    </xf>
    <xf numFmtId="0" fontId="33" fillId="0" borderId="0" xfId="0" applyFont="1" applyAlignment="1">
      <alignment horizontal="center"/>
    </xf>
    <xf numFmtId="3" fontId="33" fillId="0" borderId="18" xfId="0" applyNumberFormat="1" applyFont="1" applyBorder="1" applyAlignment="1">
      <alignment/>
    </xf>
    <xf numFmtId="0" fontId="49" fillId="0" borderId="18" xfId="0" applyFont="1" applyBorder="1" applyAlignment="1">
      <alignment horizontal="left" wrapText="1"/>
    </xf>
    <xf numFmtId="3" fontId="33" fillId="0" borderId="0" xfId="0" applyNumberFormat="1" applyFont="1" applyBorder="1" applyAlignment="1">
      <alignment horizontal="right" vertical="top"/>
    </xf>
    <xf numFmtId="0" fontId="22" fillId="6" borderId="21" xfId="0" applyFont="1" applyFill="1" applyBorder="1" applyAlignment="1">
      <alignment horizontal="center" vertical="top"/>
    </xf>
    <xf numFmtId="0" fontId="39" fillId="6" borderId="21" xfId="0" applyFont="1" applyFill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3" fontId="33" fillId="0" borderId="15" xfId="0" applyNumberFormat="1" applyFont="1" applyBorder="1" applyAlignment="1">
      <alignment vertical="top"/>
    </xf>
    <xf numFmtId="0" fontId="22" fillId="6" borderId="15" xfId="0" applyFont="1" applyFill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2" fillId="0" borderId="21" xfId="0" applyFont="1" applyBorder="1" applyAlignment="1">
      <alignment horizontal="left" vertical="top" wrapText="1"/>
    </xf>
    <xf numFmtId="3" fontId="33" fillId="0" borderId="21" xfId="0" applyNumberFormat="1" applyFont="1" applyBorder="1" applyAlignment="1">
      <alignment vertical="top"/>
    </xf>
    <xf numFmtId="0" fontId="39" fillId="6" borderId="15" xfId="0" applyFont="1" applyFill="1" applyBorder="1" applyAlignment="1">
      <alignment horizontal="left" vertical="top" wrapText="1"/>
    </xf>
    <xf numFmtId="3" fontId="22" fillId="6" borderId="15" xfId="0" applyNumberFormat="1" applyFont="1" applyFill="1" applyBorder="1" applyAlignment="1">
      <alignment vertical="top"/>
    </xf>
    <xf numFmtId="0" fontId="19" fillId="0" borderId="18" xfId="0" applyFont="1" applyBorder="1" applyAlignment="1">
      <alignment/>
    </xf>
    <xf numFmtId="0" fontId="33" fillId="0" borderId="18" xfId="0" applyFont="1" applyBorder="1" applyAlignment="1">
      <alignment vertical="top"/>
    </xf>
    <xf numFmtId="0" fontId="22" fillId="0" borderId="23" xfId="0" applyFont="1" applyBorder="1" applyAlignment="1">
      <alignment/>
    </xf>
    <xf numFmtId="0" fontId="22" fillId="25" borderId="18" xfId="0" applyFont="1" applyFill="1" applyBorder="1" applyAlignment="1">
      <alignment wrapText="1"/>
    </xf>
    <xf numFmtId="4" fontId="33" fillId="0" borderId="0" xfId="0" applyNumberFormat="1" applyFont="1" applyAlignment="1">
      <alignment/>
    </xf>
    <xf numFmtId="0" fontId="33" fillId="26" borderId="18" xfId="0" applyFont="1" applyFill="1" applyBorder="1" applyAlignment="1">
      <alignment horizontal="center" vertical="top"/>
    </xf>
    <xf numFmtId="0" fontId="32" fillId="26" borderId="18" xfId="0" applyFont="1" applyFill="1" applyBorder="1" applyAlignment="1">
      <alignment horizontal="left" vertical="top" wrapText="1"/>
    </xf>
    <xf numFmtId="3" fontId="33" fillId="26" borderId="18" xfId="0" applyNumberFormat="1" applyFont="1" applyFill="1" applyBorder="1" applyAlignment="1">
      <alignment vertical="top"/>
    </xf>
    <xf numFmtId="0" fontId="32" fillId="27" borderId="18" xfId="0" applyFont="1" applyFill="1" applyBorder="1" applyAlignment="1">
      <alignment horizontal="left" vertical="top" wrapText="1"/>
    </xf>
    <xf numFmtId="3" fontId="33" fillId="28" borderId="18" xfId="0" applyNumberFormat="1" applyFont="1" applyFill="1" applyBorder="1" applyAlignment="1">
      <alignment vertical="top"/>
    </xf>
    <xf numFmtId="0" fontId="33" fillId="0" borderId="18" xfId="0" applyFont="1" applyFill="1" applyBorder="1" applyAlignment="1">
      <alignment horizontal="center" vertical="top"/>
    </xf>
    <xf numFmtId="3" fontId="33" fillId="0" borderId="18" xfId="0" applyNumberFormat="1" applyFont="1" applyFill="1" applyBorder="1" applyAlignment="1">
      <alignment vertical="top"/>
    </xf>
    <xf numFmtId="0" fontId="32" fillId="0" borderId="18" xfId="0" applyFont="1" applyFill="1" applyBorder="1" applyAlignment="1">
      <alignment horizontal="left" vertical="top" wrapText="1"/>
    </xf>
    <xf numFmtId="49" fontId="33" fillId="0" borderId="18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4" fontId="22" fillId="6" borderId="18" xfId="0" applyNumberFormat="1" applyFont="1" applyFill="1" applyBorder="1" applyAlignment="1">
      <alignment vertical="top"/>
    </xf>
    <xf numFmtId="0" fontId="33" fillId="29" borderId="18" xfId="0" applyFont="1" applyFill="1" applyBorder="1" applyAlignment="1">
      <alignment horizontal="center" vertical="top"/>
    </xf>
    <xf numFmtId="3" fontId="33" fillId="30" borderId="18" xfId="0" applyNumberFormat="1" applyFont="1" applyFill="1" applyBorder="1" applyAlignment="1">
      <alignment vertical="top"/>
    </xf>
    <xf numFmtId="0" fontId="33" fillId="31" borderId="18" xfId="0" applyFont="1" applyFill="1" applyBorder="1" applyAlignment="1">
      <alignment horizontal="center" vertical="top"/>
    </xf>
    <xf numFmtId="3" fontId="33" fillId="28" borderId="18" xfId="0" applyNumberFormat="1" applyFont="1" applyFill="1" applyBorder="1" applyAlignment="1">
      <alignment vertical="top"/>
    </xf>
    <xf numFmtId="0" fontId="32" fillId="0" borderId="24" xfId="0" applyFont="1" applyBorder="1" applyAlignment="1">
      <alignment horizontal="left" wrapText="1"/>
    </xf>
    <xf numFmtId="3" fontId="33" fillId="26" borderId="24" xfId="0" applyNumberFormat="1" applyFont="1" applyFill="1" applyBorder="1" applyAlignment="1">
      <alignment/>
    </xf>
    <xf numFmtId="0" fontId="33" fillId="0" borderId="24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26" borderId="24" xfId="0" applyNumberFormat="1" applyFont="1" applyFill="1" applyBorder="1" applyAlignment="1">
      <alignment/>
    </xf>
    <xf numFmtId="0" fontId="52" fillId="26" borderId="15" xfId="0" applyFont="1" applyFill="1" applyBorder="1" applyAlignment="1">
      <alignment horizontal="center" vertical="top"/>
    </xf>
    <xf numFmtId="0" fontId="52" fillId="26" borderId="18" xfId="0" applyFont="1" applyFill="1" applyBorder="1" applyAlignment="1">
      <alignment horizontal="center" vertical="top" wrapText="1"/>
    </xf>
    <xf numFmtId="3" fontId="52" fillId="26" borderId="18" xfId="0" applyNumberFormat="1" applyFont="1" applyFill="1" applyBorder="1" applyAlignment="1">
      <alignment horizontal="center" vertical="top" wrapText="1"/>
    </xf>
    <xf numFmtId="10" fontId="33" fillId="0" borderId="24" xfId="0" applyNumberFormat="1" applyFont="1" applyBorder="1" applyAlignment="1">
      <alignment vertical="top"/>
    </xf>
    <xf numFmtId="3" fontId="32" fillId="0" borderId="0" xfId="0" applyNumberFormat="1" applyFont="1" applyFill="1" applyBorder="1" applyAlignment="1">
      <alignment vertical="top" wrapText="1"/>
    </xf>
    <xf numFmtId="10" fontId="39" fillId="0" borderId="24" xfId="0" applyNumberFormat="1" applyFont="1" applyFill="1" applyBorder="1" applyAlignment="1">
      <alignment vertical="top" wrapText="1"/>
    </xf>
    <xf numFmtId="10" fontId="32" fillId="0" borderId="24" xfId="0" applyNumberFormat="1" applyFont="1" applyFill="1" applyBorder="1" applyAlignment="1">
      <alignment vertical="top" wrapText="1"/>
    </xf>
    <xf numFmtId="0" fontId="33" fillId="0" borderId="15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33" fillId="32" borderId="18" xfId="0" applyFont="1" applyFill="1" applyBorder="1" applyAlignment="1">
      <alignment horizontal="center" vertical="top"/>
    </xf>
    <xf numFmtId="3" fontId="33" fillId="0" borderId="0" xfId="0" applyNumberFormat="1" applyFont="1" applyAlignment="1">
      <alignment vertical="top"/>
    </xf>
    <xf numFmtId="10" fontId="32" fillId="0" borderId="24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/>
    </xf>
    <xf numFmtId="0" fontId="44" fillId="0" borderId="24" xfId="0" applyFont="1" applyBorder="1" applyAlignment="1">
      <alignment vertical="top" wrapText="1"/>
    </xf>
    <xf numFmtId="0" fontId="32" fillId="33" borderId="18" xfId="0" applyFont="1" applyFill="1" applyBorder="1" applyAlignment="1">
      <alignment horizontal="left" vertical="top" wrapText="1"/>
    </xf>
    <xf numFmtId="0" fontId="33" fillId="0" borderId="24" xfId="0" applyFont="1" applyBorder="1" applyAlignment="1">
      <alignment/>
    </xf>
    <xf numFmtId="3" fontId="33" fillId="32" borderId="18" xfId="0" applyNumberFormat="1" applyFont="1" applyFill="1" applyBorder="1" applyAlignment="1">
      <alignment vertical="top"/>
    </xf>
    <xf numFmtId="3" fontId="39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3" fontId="33" fillId="26" borderId="23" xfId="0" applyNumberFormat="1" applyFont="1" applyFill="1" applyBorder="1" applyAlignment="1">
      <alignment vertical="top"/>
    </xf>
    <xf numFmtId="49" fontId="33" fillId="0" borderId="21" xfId="0" applyNumberFormat="1" applyFont="1" applyBorder="1" applyAlignment="1">
      <alignment horizontal="center" vertical="top"/>
    </xf>
    <xf numFmtId="10" fontId="32" fillId="0" borderId="25" xfId="0" applyNumberFormat="1" applyFont="1" applyFill="1" applyBorder="1" applyAlignment="1">
      <alignment vertical="top" wrapText="1"/>
    </xf>
    <xf numFmtId="49" fontId="33" fillId="0" borderId="15" xfId="0" applyNumberFormat="1" applyFont="1" applyBorder="1" applyAlignment="1">
      <alignment horizontal="center" vertical="top"/>
    </xf>
    <xf numFmtId="10" fontId="32" fillId="0" borderId="26" xfId="0" applyNumberFormat="1" applyFont="1" applyFill="1" applyBorder="1" applyAlignment="1">
      <alignment vertical="top" wrapText="1"/>
    </xf>
    <xf numFmtId="49" fontId="33" fillId="0" borderId="27" xfId="0" applyNumberFormat="1" applyFont="1" applyBorder="1" applyAlignment="1">
      <alignment horizontal="center" vertical="top"/>
    </xf>
    <xf numFmtId="0" fontId="33" fillId="0" borderId="28" xfId="0" applyFont="1" applyBorder="1" applyAlignment="1">
      <alignment horizontal="center" vertical="top"/>
    </xf>
    <xf numFmtId="3" fontId="33" fillId="26" borderId="15" xfId="0" applyNumberFormat="1" applyFont="1" applyFill="1" applyBorder="1" applyAlignment="1">
      <alignment vertical="top"/>
    </xf>
    <xf numFmtId="3" fontId="33" fillId="26" borderId="28" xfId="0" applyNumberFormat="1" applyFont="1" applyFill="1" applyBorder="1" applyAlignment="1">
      <alignment vertical="top"/>
    </xf>
    <xf numFmtId="49" fontId="22" fillId="6" borderId="15" xfId="0" applyNumberFormat="1" applyFont="1" applyFill="1" applyBorder="1" applyAlignment="1">
      <alignment horizontal="center" vertical="top"/>
    </xf>
    <xf numFmtId="0" fontId="32" fillId="7" borderId="28" xfId="0" applyFont="1" applyFill="1" applyBorder="1" applyAlignment="1">
      <alignment horizontal="left" vertical="top" wrapText="1"/>
    </xf>
    <xf numFmtId="0" fontId="33" fillId="7" borderId="15" xfId="0" applyFont="1" applyFill="1" applyBorder="1" applyAlignment="1">
      <alignment horizontal="center" vertical="top"/>
    </xf>
    <xf numFmtId="0" fontId="32" fillId="7" borderId="1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top" wrapText="1"/>
    </xf>
    <xf numFmtId="0" fontId="30" fillId="0" borderId="29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31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center" vertical="top"/>
    </xf>
    <xf numFmtId="0" fontId="33" fillId="0" borderId="24" xfId="0" applyFont="1" applyBorder="1" applyAlignment="1">
      <alignment vertical="top" wrapText="1"/>
    </xf>
    <xf numFmtId="0" fontId="33" fillId="26" borderId="18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32" fillId="26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center" wrapText="1"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right"/>
    </xf>
    <xf numFmtId="0" fontId="43" fillId="0" borderId="0" xfId="0" applyFont="1" applyAlignment="1">
      <alignment wrapText="1"/>
    </xf>
    <xf numFmtId="0" fontId="34" fillId="0" borderId="0" xfId="0" applyFont="1" applyAlignment="1">
      <alignment horizontal="justify"/>
    </xf>
    <xf numFmtId="0" fontId="43" fillId="0" borderId="0" xfId="0" applyFont="1" applyAlignment="1">
      <alignment/>
    </xf>
    <xf numFmtId="0" fontId="43" fillId="0" borderId="32" xfId="0" applyFont="1" applyBorder="1" applyAlignment="1">
      <alignment horizontal="justify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 vertical="top"/>
    </xf>
    <xf numFmtId="0" fontId="34" fillId="0" borderId="3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10" fontId="0" fillId="0" borderId="0" xfId="0" applyNumberFormat="1" applyFont="1" applyFill="1" applyBorder="1" applyAlignment="1">
      <alignment horizontal="right" vertical="top"/>
    </xf>
    <xf numFmtId="3" fontId="30" fillId="0" borderId="0" xfId="0" applyNumberFormat="1" applyFont="1" applyFill="1" applyAlignment="1">
      <alignment horizontal="center"/>
    </xf>
    <xf numFmtId="3" fontId="19" fillId="20" borderId="3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2" fillId="20" borderId="24" xfId="0" applyNumberFormat="1" applyFont="1" applyFill="1" applyBorder="1" applyAlignment="1">
      <alignment vertical="top" wrapText="1"/>
    </xf>
    <xf numFmtId="0" fontId="33" fillId="0" borderId="24" xfId="0" applyFont="1" applyFill="1" applyBorder="1" applyAlignment="1">
      <alignment horizontal="center" vertical="top"/>
    </xf>
    <xf numFmtId="3" fontId="19" fillId="0" borderId="36" xfId="0" applyNumberFormat="1" applyFont="1" applyFill="1" applyBorder="1" applyAlignment="1">
      <alignment horizontal="right" vertical="top"/>
    </xf>
    <xf numFmtId="3" fontId="19" fillId="0" borderId="37" xfId="0" applyNumberFormat="1" applyFont="1" applyFill="1" applyBorder="1" applyAlignment="1">
      <alignment horizontal="right" vertical="top"/>
    </xf>
    <xf numFmtId="3" fontId="19" fillId="0" borderId="38" xfId="0" applyNumberFormat="1" applyFont="1" applyFill="1" applyBorder="1" applyAlignment="1">
      <alignment horizontal="right" vertical="top"/>
    </xf>
    <xf numFmtId="0" fontId="36" fillId="0" borderId="0" xfId="52" applyFont="1" applyBorder="1" applyAlignment="1">
      <alignment vertical="top" wrapText="1"/>
      <protection/>
    </xf>
    <xf numFmtId="0" fontId="0" fillId="0" borderId="24" xfId="0" applyFont="1" applyBorder="1" applyAlignment="1" applyProtection="1">
      <alignment horizontal="center" vertical="top"/>
      <protection hidden="1"/>
    </xf>
    <xf numFmtId="0" fontId="43" fillId="0" borderId="24" xfId="0" applyFont="1" applyBorder="1" applyAlignment="1">
      <alignment horizontal="center" vertical="top"/>
    </xf>
    <xf numFmtId="0" fontId="43" fillId="0" borderId="25" xfId="0" applyFont="1" applyBorder="1" applyAlignment="1">
      <alignment horizontal="center" vertical="top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left" vertical="top" wrapText="1"/>
    </xf>
    <xf numFmtId="3" fontId="33" fillId="34" borderId="0" xfId="0" applyNumberFormat="1" applyFont="1" applyFill="1" applyBorder="1" applyAlignment="1">
      <alignment horizontal="right" vertical="top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4" borderId="0" xfId="0" applyFont="1" applyFill="1" applyAlignment="1">
      <alignment/>
    </xf>
    <xf numFmtId="3" fontId="22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33" fillId="0" borderId="24" xfId="0" applyFont="1" applyBorder="1" applyAlignment="1">
      <alignment horizontal="center" vertical="top"/>
    </xf>
    <xf numFmtId="3" fontId="33" fillId="0" borderId="24" xfId="0" applyNumberFormat="1" applyFont="1" applyBorder="1" applyAlignment="1">
      <alignment vertical="top" wrapText="1"/>
    </xf>
    <xf numFmtId="3" fontId="33" fillId="0" borderId="24" xfId="0" applyNumberFormat="1" applyFont="1" applyBorder="1" applyAlignment="1">
      <alignment vertical="top"/>
    </xf>
    <xf numFmtId="3" fontId="33" fillId="34" borderId="24" xfId="0" applyNumberFormat="1" applyFont="1" applyFill="1" applyBorder="1" applyAlignment="1">
      <alignment vertical="top"/>
    </xf>
    <xf numFmtId="49" fontId="33" fillId="0" borderId="24" xfId="0" applyNumberFormat="1" applyFont="1" applyBorder="1" applyAlignment="1">
      <alignment horizontal="center" vertical="top"/>
    </xf>
    <xf numFmtId="3" fontId="22" fillId="21" borderId="24" xfId="0" applyNumberFormat="1" applyFont="1" applyFill="1" applyBorder="1" applyAlignment="1">
      <alignment vertical="top" wrapText="1"/>
    </xf>
    <xf numFmtId="10" fontId="33" fillId="0" borderId="0" xfId="0" applyNumberFormat="1" applyFont="1" applyBorder="1" applyAlignment="1">
      <alignment horizontal="center" vertical="top"/>
    </xf>
    <xf numFmtId="0" fontId="24" fillId="0" borderId="24" xfId="0" applyFont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3" fontId="32" fillId="20" borderId="24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Border="1" applyAlignment="1">
      <alignment horizontal="center" vertical="center"/>
    </xf>
    <xf numFmtId="4" fontId="33" fillId="0" borderId="39" xfId="0" applyNumberFormat="1" applyFont="1" applyBorder="1" applyAlignment="1">
      <alignment vertical="top" wrapText="1"/>
    </xf>
    <xf numFmtId="4" fontId="22" fillId="20" borderId="39" xfId="0" applyNumberFormat="1" applyFont="1" applyFill="1" applyBorder="1" applyAlignment="1">
      <alignment vertical="top" wrapText="1"/>
    </xf>
    <xf numFmtId="4" fontId="22" fillId="21" borderId="39" xfId="0" applyNumberFormat="1" applyFont="1" applyFill="1" applyBorder="1" applyAlignment="1">
      <alignment vertical="top" wrapText="1"/>
    </xf>
    <xf numFmtId="3" fontId="22" fillId="20" borderId="40" xfId="0" applyNumberFormat="1" applyFont="1" applyFill="1" applyBorder="1" applyAlignment="1">
      <alignment vertical="top" wrapText="1"/>
    </xf>
    <xf numFmtId="3" fontId="22" fillId="21" borderId="40" xfId="0" applyNumberFormat="1" applyFont="1" applyFill="1" applyBorder="1" applyAlignment="1">
      <alignment vertical="top" wrapText="1"/>
    </xf>
    <xf numFmtId="0" fontId="24" fillId="0" borderId="41" xfId="0" applyFont="1" applyBorder="1" applyAlignment="1">
      <alignment horizontal="center" vertical="center"/>
    </xf>
    <xf numFmtId="3" fontId="22" fillId="20" borderId="41" xfId="0" applyNumberFormat="1" applyFont="1" applyFill="1" applyBorder="1" applyAlignment="1">
      <alignment vertical="top" wrapText="1"/>
    </xf>
    <xf numFmtId="3" fontId="22" fillId="21" borderId="42" xfId="0" applyNumberFormat="1" applyFont="1" applyFill="1" applyBorder="1" applyAlignment="1">
      <alignment vertical="top" wrapText="1"/>
    </xf>
    <xf numFmtId="0" fontId="19" fillId="20" borderId="24" xfId="0" applyFont="1" applyFill="1" applyBorder="1" applyAlignment="1">
      <alignment horizontal="center" vertical="top"/>
    </xf>
    <xf numFmtId="0" fontId="19" fillId="2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24" borderId="24" xfId="0" applyFont="1" applyFill="1" applyBorder="1" applyAlignment="1">
      <alignment horizontal="center" vertical="top"/>
    </xf>
    <xf numFmtId="0" fontId="0" fillId="0" borderId="24" xfId="0" applyBorder="1" applyAlignment="1">
      <alignment vertical="top" wrapText="1"/>
    </xf>
    <xf numFmtId="3" fontId="19" fillId="20" borderId="43" xfId="0" applyNumberFormat="1" applyFont="1" applyFill="1" applyBorder="1" applyAlignment="1">
      <alignment horizontal="right" vertical="center"/>
    </xf>
    <xf numFmtId="3" fontId="19" fillId="25" borderId="43" xfId="0" applyNumberFormat="1" applyFont="1" applyFill="1" applyBorder="1" applyAlignment="1">
      <alignment horizontal="right" vertical="top"/>
    </xf>
    <xf numFmtId="3" fontId="19" fillId="0" borderId="44" xfId="0" applyNumberFormat="1" applyFont="1" applyFill="1" applyBorder="1" applyAlignment="1">
      <alignment horizontal="right" vertical="top"/>
    </xf>
    <xf numFmtId="3" fontId="19" fillId="0" borderId="23" xfId="0" applyNumberFormat="1" applyFont="1" applyFill="1" applyBorder="1" applyAlignment="1">
      <alignment horizontal="right" vertical="top"/>
    </xf>
    <xf numFmtId="3" fontId="19" fillId="0" borderId="45" xfId="0" applyNumberFormat="1" applyFont="1" applyFill="1" applyBorder="1" applyAlignment="1">
      <alignment horizontal="right" vertical="top"/>
    </xf>
    <xf numFmtId="3" fontId="30" fillId="0" borderId="44" xfId="0" applyNumberFormat="1" applyFont="1" applyFill="1" applyBorder="1" applyAlignment="1">
      <alignment horizontal="right" vertical="top"/>
    </xf>
    <xf numFmtId="3" fontId="30" fillId="0" borderId="23" xfId="0" applyNumberFormat="1" applyFont="1" applyFill="1" applyBorder="1" applyAlignment="1">
      <alignment horizontal="right" vertical="top"/>
    </xf>
    <xf numFmtId="3" fontId="30" fillId="0" borderId="45" xfId="0" applyNumberFormat="1" applyFont="1" applyFill="1" applyBorder="1" applyAlignment="1">
      <alignment horizontal="right" vertical="top"/>
    </xf>
    <xf numFmtId="3" fontId="19" fillId="20" borderId="43" xfId="0" applyNumberFormat="1" applyFont="1" applyFill="1" applyBorder="1" applyAlignment="1">
      <alignment horizontal="right" vertical="top"/>
    </xf>
    <xf numFmtId="3" fontId="0" fillId="0" borderId="24" xfId="0" applyNumberFormat="1" applyFont="1" applyFill="1" applyBorder="1" applyAlignment="1">
      <alignment horizontal="right" vertical="top"/>
    </xf>
    <xf numFmtId="10" fontId="0" fillId="0" borderId="24" xfId="0" applyNumberFormat="1" applyFont="1" applyFill="1" applyBorder="1" applyAlignment="1">
      <alignment horizontal="right" vertical="top"/>
    </xf>
    <xf numFmtId="0" fontId="19" fillId="25" borderId="24" xfId="0" applyFont="1" applyFill="1" applyBorder="1" applyAlignment="1">
      <alignment horizontal="center" vertical="top"/>
    </xf>
    <xf numFmtId="0" fontId="19" fillId="25" borderId="24" xfId="0" applyFont="1" applyFill="1" applyBorder="1" applyAlignment="1">
      <alignment vertical="top" wrapText="1"/>
    </xf>
    <xf numFmtId="49" fontId="19" fillId="25" borderId="24" xfId="0" applyNumberFormat="1" applyFont="1" applyFill="1" applyBorder="1" applyAlignment="1">
      <alignment horizontal="center" vertical="top" wrapText="1"/>
    </xf>
    <xf numFmtId="10" fontId="19" fillId="25" borderId="24" xfId="0" applyNumberFormat="1" applyFont="1" applyFill="1" applyBorder="1" applyAlignment="1">
      <alignment horizontal="right" vertical="top"/>
    </xf>
    <xf numFmtId="0" fontId="19" fillId="20" borderId="24" xfId="0" applyFont="1" applyFill="1" applyBorder="1" applyAlignment="1">
      <alignment horizontal="left" vertical="top" wrapText="1"/>
    </xf>
    <xf numFmtId="49" fontId="19" fillId="20" borderId="24" xfId="0" applyNumberFormat="1" applyFont="1" applyFill="1" applyBorder="1" applyAlignment="1">
      <alignment horizontal="center" vertical="top" wrapText="1"/>
    </xf>
    <xf numFmtId="10" fontId="19" fillId="20" borderId="24" xfId="0" applyNumberFormat="1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top" wrapText="1"/>
    </xf>
    <xf numFmtId="49" fontId="0" fillId="0" borderId="24" xfId="0" applyNumberFormat="1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>
      <alignment horizontal="center" vertical="top"/>
    </xf>
    <xf numFmtId="49" fontId="0" fillId="24" borderId="24" xfId="0" applyNumberFormat="1" applyFont="1" applyFill="1" applyBorder="1" applyAlignment="1">
      <alignment horizontal="center" vertical="top"/>
    </xf>
    <xf numFmtId="0" fontId="26" fillId="0" borderId="24" xfId="0" applyFont="1" applyFill="1" applyBorder="1" applyAlignment="1">
      <alignment vertical="top" wrapText="1"/>
    </xf>
    <xf numFmtId="49" fontId="26" fillId="0" borderId="24" xfId="54" applyNumberFormat="1" applyFont="1" applyFill="1" applyBorder="1" applyAlignment="1">
      <alignment horizontal="center" vertical="top" wrapText="1"/>
      <protection/>
    </xf>
    <xf numFmtId="10" fontId="0" fillId="22" borderId="24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 vertical="top"/>
    </xf>
    <xf numFmtId="1" fontId="24" fillId="0" borderId="26" xfId="0" applyNumberFormat="1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3" fontId="25" fillId="24" borderId="4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top"/>
    </xf>
    <xf numFmtId="0" fontId="24" fillId="34" borderId="39" xfId="0" applyFont="1" applyFill="1" applyBorder="1" applyAlignment="1">
      <alignment horizontal="center" vertical="center"/>
    </xf>
    <xf numFmtId="3" fontId="33" fillId="34" borderId="39" xfId="0" applyNumberFormat="1" applyFont="1" applyFill="1" applyBorder="1" applyAlignment="1">
      <alignment vertical="top"/>
    </xf>
    <xf numFmtId="3" fontId="22" fillId="20" borderId="39" xfId="0" applyNumberFormat="1" applyFont="1" applyFill="1" applyBorder="1" applyAlignment="1">
      <alignment vertical="top" wrapText="1"/>
    </xf>
    <xf numFmtId="3" fontId="22" fillId="21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center"/>
    </xf>
    <xf numFmtId="10" fontId="33" fillId="0" borderId="40" xfId="0" applyNumberFormat="1" applyFont="1" applyBorder="1" applyAlignment="1">
      <alignment vertical="top"/>
    </xf>
    <xf numFmtId="10" fontId="22" fillId="20" borderId="40" xfId="0" applyNumberFormat="1" applyFont="1" applyFill="1" applyBorder="1" applyAlignment="1">
      <alignment vertical="top"/>
    </xf>
    <xf numFmtId="10" fontId="22" fillId="21" borderId="40" xfId="0" applyNumberFormat="1" applyFont="1" applyFill="1" applyBorder="1" applyAlignment="1">
      <alignment vertical="top"/>
    </xf>
    <xf numFmtId="0" fontId="24" fillId="34" borderId="40" xfId="0" applyFont="1" applyFill="1" applyBorder="1" applyAlignment="1">
      <alignment horizontal="center" vertical="center"/>
    </xf>
    <xf numFmtId="3" fontId="33" fillId="34" borderId="40" xfId="0" applyNumberFormat="1" applyFont="1" applyFill="1" applyBorder="1" applyAlignment="1">
      <alignment vertical="top" wrapText="1"/>
    </xf>
    <xf numFmtId="3" fontId="20" fillId="20" borderId="40" xfId="0" applyNumberFormat="1" applyFont="1" applyFill="1" applyBorder="1" applyAlignment="1">
      <alignment horizontal="center" vertical="top" wrapText="1"/>
    </xf>
    <xf numFmtId="0" fontId="24" fillId="0" borderId="48" xfId="0" applyFont="1" applyFill="1" applyBorder="1" applyAlignment="1">
      <alignment horizontal="center" vertical="center"/>
    </xf>
    <xf numFmtId="10" fontId="28" fillId="0" borderId="0" xfId="0" applyNumberFormat="1" applyFont="1" applyFill="1" applyAlignment="1">
      <alignment horizontal="center"/>
    </xf>
    <xf numFmtId="0" fontId="0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 wrapText="1"/>
    </xf>
    <xf numFmtId="49" fontId="33" fillId="0" borderId="24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/>
    </xf>
    <xf numFmtId="3" fontId="33" fillId="0" borderId="24" xfId="0" applyNumberFormat="1" applyFont="1" applyFill="1" applyBorder="1" applyAlignment="1">
      <alignment vertical="top"/>
    </xf>
    <xf numFmtId="4" fontId="19" fillId="0" borderId="41" xfId="0" applyNumberFormat="1" applyFont="1" applyFill="1" applyBorder="1" applyAlignment="1">
      <alignment horizontal="right" vertical="top"/>
    </xf>
    <xf numFmtId="4" fontId="19" fillId="25" borderId="41" xfId="0" applyNumberFormat="1" applyFont="1" applyFill="1" applyBorder="1" applyAlignment="1">
      <alignment horizontal="right" vertical="top"/>
    </xf>
    <xf numFmtId="4" fontId="19" fillId="20" borderId="41" xfId="0" applyNumberFormat="1" applyFont="1" applyFill="1" applyBorder="1" applyAlignment="1">
      <alignment horizontal="right" vertical="top"/>
    </xf>
    <xf numFmtId="4" fontId="19" fillId="0" borderId="41" xfId="0" applyNumberFormat="1" applyFont="1" applyFill="1" applyBorder="1" applyAlignment="1">
      <alignment vertical="top"/>
    </xf>
    <xf numFmtId="4" fontId="19" fillId="24" borderId="41" xfId="0" applyNumberFormat="1" applyFont="1" applyFill="1" applyBorder="1" applyAlignment="1">
      <alignment horizontal="right" vertical="top"/>
    </xf>
    <xf numFmtId="4" fontId="19" fillId="0" borderId="41" xfId="54" applyNumberFormat="1" applyFont="1" applyFill="1" applyBorder="1" applyAlignment="1">
      <alignment horizontal="right" vertical="top"/>
      <protection/>
    </xf>
    <xf numFmtId="4" fontId="27" fillId="22" borderId="41" xfId="0" applyNumberFormat="1" applyFont="1" applyFill="1" applyBorder="1" applyAlignment="1">
      <alignment horizontal="right" vertical="top"/>
    </xf>
    <xf numFmtId="4" fontId="19" fillId="0" borderId="41" xfId="0" applyNumberFormat="1" applyFont="1" applyFill="1" applyBorder="1" applyAlignment="1">
      <alignment horizontal="right" vertical="top" wrapText="1"/>
    </xf>
    <xf numFmtId="4" fontId="19" fillId="21" borderId="42" xfId="0" applyNumberFormat="1" applyFont="1" applyFill="1" applyBorder="1" applyAlignment="1">
      <alignment horizontal="right" vertical="top"/>
    </xf>
    <xf numFmtId="4" fontId="20" fillId="0" borderId="0" xfId="0" applyNumberFormat="1" applyFont="1" applyFill="1" applyBorder="1" applyAlignment="1">
      <alignment vertical="top" wrapText="1"/>
    </xf>
    <xf numFmtId="3" fontId="33" fillId="26" borderId="18" xfId="0" applyNumberFormat="1" applyFont="1" applyFill="1" applyBorder="1" applyAlignment="1">
      <alignment vertical="top"/>
    </xf>
    <xf numFmtId="0" fontId="33" fillId="0" borderId="49" xfId="0" applyFont="1" applyBorder="1" applyAlignment="1">
      <alignment horizontal="center" vertical="top"/>
    </xf>
    <xf numFmtId="0" fontId="32" fillId="0" borderId="49" xfId="0" applyFont="1" applyBorder="1" applyAlignment="1">
      <alignment horizontal="left" vertical="top" wrapText="1"/>
    </xf>
    <xf numFmtId="3" fontId="33" fillId="0" borderId="49" xfId="0" applyNumberFormat="1" applyFont="1" applyBorder="1" applyAlignment="1">
      <alignment vertical="top"/>
    </xf>
    <xf numFmtId="0" fontId="33" fillId="35" borderId="24" xfId="0" applyFont="1" applyFill="1" applyBorder="1" applyAlignment="1">
      <alignment horizontal="center" vertical="top"/>
    </xf>
    <xf numFmtId="0" fontId="32" fillId="27" borderId="24" xfId="0" applyFont="1" applyFill="1" applyBorder="1" applyAlignment="1">
      <alignment horizontal="left" vertical="top" wrapText="1"/>
    </xf>
    <xf numFmtId="3" fontId="33" fillId="26" borderId="24" xfId="0" applyNumberFormat="1" applyFont="1" applyFill="1" applyBorder="1" applyAlignment="1">
      <alignment vertical="top"/>
    </xf>
    <xf numFmtId="0" fontId="33" fillId="35" borderId="18" xfId="0" applyFont="1" applyFill="1" applyBorder="1" applyAlignment="1">
      <alignment horizontal="center" vertical="top"/>
    </xf>
    <xf numFmtId="0" fontId="33" fillId="7" borderId="24" xfId="0" applyFont="1" applyFill="1" applyBorder="1" applyAlignment="1">
      <alignment horizontal="center" vertical="top"/>
    </xf>
    <xf numFmtId="0" fontId="32" fillId="7" borderId="24" xfId="0" applyFont="1" applyFill="1" applyBorder="1" applyAlignment="1">
      <alignment horizontal="left" vertical="top" wrapText="1"/>
    </xf>
    <xf numFmtId="3" fontId="33" fillId="36" borderId="18" xfId="0" applyNumberFormat="1" applyFont="1" applyFill="1" applyBorder="1" applyAlignment="1">
      <alignment vertical="top"/>
    </xf>
    <xf numFmtId="49" fontId="33" fillId="0" borderId="26" xfId="0" applyNumberFormat="1" applyFont="1" applyBorder="1" applyAlignment="1">
      <alignment horizontal="center" vertical="top"/>
    </xf>
    <xf numFmtId="0" fontId="33" fillId="0" borderId="26" xfId="0" applyFont="1" applyBorder="1" applyAlignment="1">
      <alignment horizontal="center" vertical="top"/>
    </xf>
    <xf numFmtId="0" fontId="32" fillId="0" borderId="24" xfId="0" applyFont="1" applyBorder="1" applyAlignment="1">
      <alignment horizontal="left" vertical="top" wrapText="1"/>
    </xf>
    <xf numFmtId="0" fontId="33" fillId="7" borderId="26" xfId="0" applyFont="1" applyFill="1" applyBorder="1" applyAlignment="1">
      <alignment horizontal="center" vertical="top"/>
    </xf>
    <xf numFmtId="0" fontId="32" fillId="7" borderId="26" xfId="0" applyFont="1" applyFill="1" applyBorder="1" applyAlignment="1">
      <alignment horizontal="left" vertical="top" wrapText="1"/>
    </xf>
    <xf numFmtId="3" fontId="33" fillId="26" borderId="26" xfId="0" applyNumberFormat="1" applyFont="1" applyFill="1" applyBorder="1" applyAlignment="1">
      <alignment vertical="top"/>
    </xf>
    <xf numFmtId="49" fontId="22" fillId="0" borderId="21" xfId="0" applyNumberFormat="1" applyFont="1" applyBorder="1" applyAlignment="1">
      <alignment horizontal="left" vertical="top"/>
    </xf>
    <xf numFmtId="0" fontId="22" fillId="0" borderId="21" xfId="0" applyFont="1" applyBorder="1" applyAlignment="1">
      <alignment horizontal="center" vertical="top"/>
    </xf>
    <xf numFmtId="0" fontId="39" fillId="0" borderId="21" xfId="0" applyFont="1" applyBorder="1" applyAlignment="1">
      <alignment horizontal="left" vertical="top" wrapText="1"/>
    </xf>
    <xf numFmtId="3" fontId="22" fillId="0" borderId="21" xfId="0" applyNumberFormat="1" applyFont="1" applyBorder="1" applyAlignment="1">
      <alignment horizontal="center" vertical="top" wrapText="1"/>
    </xf>
    <xf numFmtId="3" fontId="22" fillId="0" borderId="45" xfId="0" applyNumberFormat="1" applyFont="1" applyFill="1" applyBorder="1" applyAlignment="1">
      <alignment horizontal="center" vertical="top" wrapText="1"/>
    </xf>
    <xf numFmtId="10" fontId="22" fillId="0" borderId="21" xfId="0" applyNumberFormat="1" applyFont="1" applyBorder="1" applyAlignment="1">
      <alignment horizontal="center" vertical="top" wrapText="1"/>
    </xf>
    <xf numFmtId="49" fontId="39" fillId="26" borderId="15" xfId="0" applyNumberFormat="1" applyFont="1" applyFill="1" applyBorder="1" applyAlignment="1">
      <alignment horizontal="left" vertical="top" wrapText="1"/>
    </xf>
    <xf numFmtId="3" fontId="22" fillId="26" borderId="15" xfId="0" applyNumberFormat="1" applyFont="1" applyFill="1" applyBorder="1" applyAlignment="1">
      <alignment vertical="top"/>
    </xf>
    <xf numFmtId="10" fontId="22" fillId="26" borderId="15" xfId="0" applyNumberFormat="1" applyFont="1" applyFill="1" applyBorder="1" applyAlignment="1">
      <alignment vertical="top"/>
    </xf>
    <xf numFmtId="0" fontId="33" fillId="32" borderId="24" xfId="0" applyFont="1" applyFill="1" applyBorder="1" applyAlignment="1">
      <alignment horizontal="center" vertical="top"/>
    </xf>
    <xf numFmtId="0" fontId="32" fillId="32" borderId="24" xfId="0" applyFont="1" applyFill="1" applyBorder="1" applyAlignment="1">
      <alignment horizontal="left" vertical="top" wrapText="1"/>
    </xf>
    <xf numFmtId="3" fontId="33" fillId="32" borderId="24" xfId="0" applyNumberFormat="1" applyFont="1" applyFill="1" applyBorder="1" applyAlignment="1">
      <alignment vertical="top"/>
    </xf>
    <xf numFmtId="10" fontId="33" fillId="32" borderId="24" xfId="0" applyNumberFormat="1" applyFont="1" applyFill="1" applyBorder="1" applyAlignment="1">
      <alignment vertical="top"/>
    </xf>
    <xf numFmtId="0" fontId="32" fillId="0" borderId="24" xfId="0" applyFont="1" applyFill="1" applyBorder="1" applyAlignment="1">
      <alignment horizontal="left" vertical="top" wrapText="1"/>
    </xf>
    <xf numFmtId="0" fontId="33" fillId="7" borderId="28" xfId="0" applyFont="1" applyFill="1" applyBorder="1" applyAlignment="1">
      <alignment horizontal="center" vertical="top"/>
    </xf>
    <xf numFmtId="3" fontId="33" fillId="0" borderId="23" xfId="0" applyNumberFormat="1" applyFont="1" applyFill="1" applyBorder="1" applyAlignment="1">
      <alignment vertical="top"/>
    </xf>
    <xf numFmtId="3" fontId="33" fillId="26" borderId="23" xfId="0" applyNumberFormat="1" applyFont="1" applyFill="1" applyBorder="1" applyAlignment="1">
      <alignment vertical="top"/>
    </xf>
    <xf numFmtId="3" fontId="22" fillId="0" borderId="23" xfId="0" applyNumberFormat="1" applyFont="1" applyFill="1" applyBorder="1" applyAlignment="1">
      <alignment vertical="top"/>
    </xf>
    <xf numFmtId="3" fontId="22" fillId="21" borderId="23" xfId="0" applyNumberFormat="1" applyFont="1" applyFill="1" applyBorder="1" applyAlignment="1">
      <alignment vertical="top"/>
    </xf>
    <xf numFmtId="0" fontId="33" fillId="28" borderId="18" xfId="0" applyFont="1" applyFill="1" applyBorder="1" applyAlignment="1">
      <alignment horizontal="center" vertical="top"/>
    </xf>
    <xf numFmtId="3" fontId="33" fillId="28" borderId="23" xfId="0" applyNumberFormat="1" applyFont="1" applyFill="1" applyBorder="1" applyAlignment="1">
      <alignment vertical="top"/>
    </xf>
    <xf numFmtId="0" fontId="32" fillId="28" borderId="18" xfId="0" applyFont="1" applyFill="1" applyBorder="1" applyAlignment="1">
      <alignment horizontal="left" vertical="top" wrapText="1"/>
    </xf>
    <xf numFmtId="0" fontId="33" fillId="37" borderId="18" xfId="0" applyFont="1" applyFill="1" applyBorder="1" applyAlignment="1">
      <alignment horizontal="center" vertical="top"/>
    </xf>
    <xf numFmtId="4" fontId="35" fillId="0" borderId="0" xfId="0" applyNumberFormat="1" applyFont="1" applyFill="1" applyBorder="1" applyAlignment="1">
      <alignment vertical="top" wrapText="1"/>
    </xf>
    <xf numFmtId="10" fontId="19" fillId="20" borderId="40" xfId="0" applyNumberFormat="1" applyFont="1" applyFill="1" applyBorder="1" applyAlignment="1">
      <alignment horizontal="right" vertical="top"/>
    </xf>
    <xf numFmtId="10" fontId="19" fillId="25" borderId="40" xfId="0" applyNumberFormat="1" applyFont="1" applyFill="1" applyBorder="1" applyAlignment="1">
      <alignment horizontal="right" vertical="top"/>
    </xf>
    <xf numFmtId="49" fontId="33" fillId="0" borderId="50" xfId="0" applyNumberFormat="1" applyFont="1" applyFill="1" applyBorder="1" applyAlignment="1">
      <alignment horizontal="center" vertical="top"/>
    </xf>
    <xf numFmtId="0" fontId="33" fillId="0" borderId="50" xfId="0" applyFont="1" applyFill="1" applyBorder="1" applyAlignment="1">
      <alignment horizontal="center" vertical="top"/>
    </xf>
    <xf numFmtId="0" fontId="33" fillId="26" borderId="50" xfId="0" applyFont="1" applyFill="1" applyBorder="1" applyAlignment="1">
      <alignment horizontal="center" vertical="top"/>
    </xf>
    <xf numFmtId="0" fontId="39" fillId="38" borderId="24" xfId="0" applyFont="1" applyFill="1" applyBorder="1" applyAlignment="1">
      <alignment vertical="top" wrapText="1"/>
    </xf>
    <xf numFmtId="3" fontId="22" fillId="0" borderId="23" xfId="0" applyNumberFormat="1" applyFont="1" applyFill="1" applyBorder="1" applyAlignment="1">
      <alignment horizontal="center" vertical="top" wrapText="1"/>
    </xf>
    <xf numFmtId="3" fontId="52" fillId="26" borderId="44" xfId="0" applyNumberFormat="1" applyFont="1" applyFill="1" applyBorder="1" applyAlignment="1">
      <alignment horizontal="center" vertical="top" wrapText="1"/>
    </xf>
    <xf numFmtId="3" fontId="22" fillId="38" borderId="23" xfId="0" applyNumberFormat="1" applyFont="1" applyFill="1" applyBorder="1" applyAlignment="1">
      <alignment vertical="top"/>
    </xf>
    <xf numFmtId="3" fontId="33" fillId="0" borderId="44" xfId="0" applyNumberFormat="1" applyFont="1" applyFill="1" applyBorder="1" applyAlignment="1">
      <alignment vertical="top"/>
    </xf>
    <xf numFmtId="3" fontId="33" fillId="0" borderId="23" xfId="0" applyNumberFormat="1" applyFont="1" applyBorder="1" applyAlignment="1">
      <alignment vertical="top"/>
    </xf>
    <xf numFmtId="3" fontId="33" fillId="0" borderId="51" xfId="0" applyNumberFormat="1" applyFont="1" applyFill="1" applyBorder="1" applyAlignment="1">
      <alignment vertical="top"/>
    </xf>
    <xf numFmtId="3" fontId="33" fillId="26" borderId="39" xfId="0" applyNumberFormat="1" applyFont="1" applyFill="1" applyBorder="1" applyAlignment="1">
      <alignment vertical="top"/>
    </xf>
    <xf numFmtId="3" fontId="33" fillId="26" borderId="44" xfId="0" applyNumberFormat="1" applyFont="1" applyFill="1" applyBorder="1" applyAlignment="1">
      <alignment vertical="top"/>
    </xf>
    <xf numFmtId="3" fontId="33" fillId="0" borderId="45" xfId="0" applyNumberFormat="1" applyFont="1" applyBorder="1" applyAlignment="1">
      <alignment vertical="top"/>
    </xf>
    <xf numFmtId="3" fontId="33" fillId="0" borderId="39" xfId="0" applyNumberFormat="1" applyFont="1" applyBorder="1" applyAlignment="1">
      <alignment vertical="top"/>
    </xf>
    <xf numFmtId="3" fontId="33" fillId="26" borderId="46" xfId="0" applyNumberFormat="1" applyFont="1" applyFill="1" applyBorder="1" applyAlignment="1">
      <alignment vertical="top"/>
    </xf>
    <xf numFmtId="3" fontId="33" fillId="26" borderId="52" xfId="0" applyNumberFormat="1" applyFont="1" applyFill="1" applyBorder="1" applyAlignment="1">
      <alignment vertical="top"/>
    </xf>
    <xf numFmtId="3" fontId="33" fillId="28" borderId="23" xfId="0" applyNumberFormat="1" applyFont="1" applyFill="1" applyBorder="1" applyAlignment="1">
      <alignment vertical="top"/>
    </xf>
    <xf numFmtId="3" fontId="33" fillId="0" borderId="23" xfId="0" applyNumberFormat="1" applyFont="1" applyFill="1" applyBorder="1" applyAlignment="1">
      <alignment vertical="top"/>
    </xf>
    <xf numFmtId="3" fontId="22" fillId="6" borderId="23" xfId="0" applyNumberFormat="1" applyFont="1" applyFill="1" applyBorder="1" applyAlignment="1">
      <alignment vertical="top"/>
    </xf>
    <xf numFmtId="10" fontId="22" fillId="0" borderId="40" xfId="0" applyNumberFormat="1" applyFont="1" applyBorder="1" applyAlignment="1">
      <alignment horizontal="center" vertical="top" wrapText="1"/>
    </xf>
    <xf numFmtId="1" fontId="52" fillId="26" borderId="40" xfId="0" applyNumberFormat="1" applyFont="1" applyFill="1" applyBorder="1" applyAlignment="1">
      <alignment horizontal="center" vertical="top" wrapText="1"/>
    </xf>
    <xf numFmtId="10" fontId="22" fillId="6" borderId="40" xfId="0" applyNumberFormat="1" applyFont="1" applyFill="1" applyBorder="1" applyAlignment="1">
      <alignment vertical="top"/>
    </xf>
    <xf numFmtId="10" fontId="22" fillId="20" borderId="40" xfId="0" applyNumberFormat="1" applyFont="1" applyFill="1" applyBorder="1" applyAlignment="1">
      <alignment vertical="top"/>
    </xf>
    <xf numFmtId="10" fontId="33" fillId="0" borderId="40" xfId="0" applyNumberFormat="1" applyFont="1" applyBorder="1" applyAlignment="1">
      <alignment vertical="top"/>
    </xf>
    <xf numFmtId="10" fontId="22" fillId="6" borderId="40" xfId="0" applyNumberFormat="1" applyFont="1" applyFill="1" applyBorder="1" applyAlignment="1">
      <alignment vertical="top"/>
    </xf>
    <xf numFmtId="10" fontId="33" fillId="0" borderId="47" xfId="0" applyNumberFormat="1" applyFont="1" applyBorder="1" applyAlignment="1">
      <alignment vertical="top"/>
    </xf>
    <xf numFmtId="10" fontId="33" fillId="6" borderId="40" xfId="0" applyNumberFormat="1" applyFont="1" applyFill="1" applyBorder="1" applyAlignment="1">
      <alignment vertical="top"/>
    </xf>
    <xf numFmtId="10" fontId="33" fillId="0" borderId="40" xfId="0" applyNumberFormat="1" applyFont="1" applyFill="1" applyBorder="1" applyAlignment="1">
      <alignment vertical="top"/>
    </xf>
    <xf numFmtId="10" fontId="33" fillId="24" borderId="40" xfId="0" applyNumberFormat="1" applyFont="1" applyFill="1" applyBorder="1" applyAlignment="1">
      <alignment vertical="top"/>
    </xf>
    <xf numFmtId="10" fontId="33" fillId="30" borderId="40" xfId="0" applyNumberFormat="1" applyFont="1" applyFill="1" applyBorder="1" applyAlignment="1">
      <alignment vertical="top"/>
    </xf>
    <xf numFmtId="10" fontId="33" fillId="0" borderId="40" xfId="0" applyNumberFormat="1" applyFont="1" applyFill="1" applyBorder="1" applyAlignment="1">
      <alignment vertical="top"/>
    </xf>
    <xf numFmtId="10" fontId="22" fillId="21" borderId="40" xfId="0" applyNumberFormat="1" applyFont="1" applyFill="1" applyBorder="1" applyAlignment="1">
      <alignment vertical="top"/>
    </xf>
    <xf numFmtId="0" fontId="32" fillId="0" borderId="0" xfId="0" applyFont="1" applyBorder="1" applyAlignment="1">
      <alignment horizontal="left" wrapText="1"/>
    </xf>
    <xf numFmtId="3" fontId="41" fillId="0" borderId="53" xfId="0" applyNumberFormat="1" applyFont="1" applyBorder="1" applyAlignment="1">
      <alignment horizontal="center" vertical="top"/>
    </xf>
    <xf numFmtId="3" fontId="33" fillId="30" borderId="23" xfId="0" applyNumberFormat="1" applyFont="1" applyFill="1" applyBorder="1" applyAlignment="1">
      <alignment vertical="top"/>
    </xf>
    <xf numFmtId="3" fontId="33" fillId="39" borderId="18" xfId="0" applyNumberFormat="1" applyFont="1" applyFill="1" applyBorder="1" applyAlignment="1">
      <alignment vertical="top"/>
    </xf>
    <xf numFmtId="3" fontId="33" fillId="30" borderId="18" xfId="0" applyNumberFormat="1" applyFont="1" applyFill="1" applyBorder="1" applyAlignment="1">
      <alignment vertical="top"/>
    </xf>
    <xf numFmtId="3" fontId="22" fillId="30" borderId="23" xfId="0" applyNumberFormat="1" applyFont="1" applyFill="1" applyBorder="1" applyAlignment="1">
      <alignment vertical="top"/>
    </xf>
    <xf numFmtId="0" fontId="33" fillId="30" borderId="18" xfId="0" applyFont="1" applyFill="1" applyBorder="1" applyAlignment="1">
      <alignment horizontal="center" vertical="top"/>
    </xf>
    <xf numFmtId="0" fontId="32" fillId="30" borderId="18" xfId="0" applyFont="1" applyFill="1" applyBorder="1" applyAlignment="1">
      <alignment horizontal="left" vertical="top" wrapText="1"/>
    </xf>
    <xf numFmtId="0" fontId="33" fillId="30" borderId="18" xfId="0" applyFont="1" applyFill="1" applyBorder="1" applyAlignment="1">
      <alignment horizontal="center" vertical="top"/>
    </xf>
    <xf numFmtId="0" fontId="32" fillId="30" borderId="18" xfId="0" applyFont="1" applyFill="1" applyBorder="1" applyAlignment="1">
      <alignment horizontal="left" vertical="top" wrapText="1"/>
    </xf>
    <xf numFmtId="3" fontId="33" fillId="30" borderId="23" xfId="0" applyNumberFormat="1" applyFont="1" applyFill="1" applyBorder="1" applyAlignment="1">
      <alignment vertical="top"/>
    </xf>
    <xf numFmtId="0" fontId="33" fillId="39" borderId="18" xfId="0" applyFont="1" applyFill="1" applyBorder="1" applyAlignment="1">
      <alignment horizontal="center" vertical="top"/>
    </xf>
    <xf numFmtId="3" fontId="33" fillId="40" borderId="23" xfId="0" applyNumberFormat="1" applyFont="1" applyFill="1" applyBorder="1" applyAlignment="1">
      <alignment vertical="top"/>
    </xf>
    <xf numFmtId="3" fontId="33" fillId="0" borderId="21" xfId="0" applyNumberFormat="1" applyFont="1" applyFill="1" applyBorder="1" applyAlignment="1">
      <alignment vertical="center"/>
    </xf>
    <xf numFmtId="3" fontId="33" fillId="24" borderId="21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3" fontId="22" fillId="6" borderId="44" xfId="0" applyNumberFormat="1" applyFont="1" applyFill="1" applyBorder="1" applyAlignment="1">
      <alignment vertical="top"/>
    </xf>
    <xf numFmtId="0" fontId="39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3" fontId="32" fillId="0" borderId="0" xfId="0" applyNumberFormat="1" applyFont="1" applyBorder="1" applyAlignment="1">
      <alignment vertical="top" wrapText="1"/>
    </xf>
    <xf numFmtId="10" fontId="39" fillId="0" borderId="24" xfId="0" applyNumberFormat="1" applyFont="1" applyBorder="1" applyAlignment="1">
      <alignment horizontal="center" vertical="top" wrapText="1"/>
    </xf>
    <xf numFmtId="1" fontId="32" fillId="0" borderId="24" xfId="0" applyNumberFormat="1" applyFont="1" applyFill="1" applyBorder="1" applyAlignment="1">
      <alignment horizontal="center" vertical="top" wrapText="1"/>
    </xf>
    <xf numFmtId="10" fontId="39" fillId="6" borderId="24" xfId="0" applyNumberFormat="1" applyFont="1" applyFill="1" applyBorder="1" applyAlignment="1">
      <alignment vertical="top" wrapText="1"/>
    </xf>
    <xf numFmtId="10" fontId="39" fillId="20" borderId="24" xfId="0" applyNumberFormat="1" applyFont="1" applyFill="1" applyBorder="1" applyAlignment="1">
      <alignment vertical="top" wrapText="1"/>
    </xf>
    <xf numFmtId="10" fontId="32" fillId="0" borderId="24" xfId="0" applyNumberFormat="1" applyFont="1" applyBorder="1" applyAlignment="1">
      <alignment vertical="top" wrapText="1"/>
    </xf>
    <xf numFmtId="10" fontId="32" fillId="6" borderId="24" xfId="0" applyNumberFormat="1" applyFont="1" applyFill="1" applyBorder="1" applyAlignment="1">
      <alignment vertical="top" wrapText="1"/>
    </xf>
    <xf numFmtId="10" fontId="47" fillId="0" borderId="24" xfId="0" applyNumberFormat="1" applyFont="1" applyBorder="1" applyAlignment="1">
      <alignment vertical="top" wrapText="1"/>
    </xf>
    <xf numFmtId="10" fontId="32" fillId="24" borderId="24" xfId="0" applyNumberFormat="1" applyFont="1" applyFill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10" fontId="32" fillId="30" borderId="24" xfId="0" applyNumberFormat="1" applyFont="1" applyFill="1" applyBorder="1" applyAlignment="1">
      <alignment vertical="top" wrapText="1"/>
    </xf>
    <xf numFmtId="10" fontId="39" fillId="21" borderId="24" xfId="0" applyNumberFormat="1" applyFont="1" applyFill="1" applyBorder="1" applyAlignment="1">
      <alignment vertical="top" wrapText="1"/>
    </xf>
    <xf numFmtId="0" fontId="39" fillId="0" borderId="0" xfId="0" applyFont="1" applyAlignment="1">
      <alignment wrapText="1"/>
    </xf>
    <xf numFmtId="10" fontId="54" fillId="0" borderId="0" xfId="0" applyNumberFormat="1" applyFont="1" applyBorder="1" applyAlignment="1">
      <alignment vertical="top" wrapText="1"/>
    </xf>
    <xf numFmtId="10" fontId="39" fillId="0" borderId="0" xfId="0" applyNumberFormat="1" applyFont="1" applyBorder="1" applyAlignment="1">
      <alignment horizontal="center" vertical="top" wrapText="1"/>
    </xf>
    <xf numFmtId="10" fontId="32" fillId="32" borderId="0" xfId="0" applyNumberFormat="1" applyFont="1" applyFill="1" applyBorder="1" applyAlignment="1">
      <alignment vertical="top" wrapText="1"/>
    </xf>
    <xf numFmtId="10" fontId="32" fillId="0" borderId="0" xfId="0" applyNumberFormat="1" applyFont="1" applyBorder="1" applyAlignment="1">
      <alignment vertical="top" wrapText="1"/>
    </xf>
    <xf numFmtId="10" fontId="39" fillId="26" borderId="0" xfId="0" applyNumberFormat="1" applyFont="1" applyFill="1" applyBorder="1" applyAlignment="1">
      <alignment vertical="top" wrapText="1"/>
    </xf>
    <xf numFmtId="10" fontId="39" fillId="0" borderId="0" xfId="0" applyNumberFormat="1" applyFont="1" applyBorder="1" applyAlignment="1">
      <alignment vertical="top" wrapText="1"/>
    </xf>
    <xf numFmtId="10" fontId="39" fillId="20" borderId="0" xfId="0" applyNumberFormat="1" applyFont="1" applyFill="1" applyBorder="1" applyAlignment="1">
      <alignment vertical="top" wrapText="1"/>
    </xf>
    <xf numFmtId="0" fontId="32" fillId="0" borderId="0" xfId="0" applyFont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center" wrapText="1"/>
    </xf>
    <xf numFmtId="49" fontId="33" fillId="0" borderId="54" xfId="0" applyNumberFormat="1" applyFont="1" applyBorder="1" applyAlignment="1">
      <alignment horizontal="center" vertical="top"/>
    </xf>
    <xf numFmtId="0" fontId="33" fillId="0" borderId="54" xfId="0" applyFont="1" applyBorder="1" applyAlignment="1">
      <alignment horizontal="center" vertical="top"/>
    </xf>
    <xf numFmtId="0" fontId="33" fillId="7" borderId="54" xfId="0" applyFont="1" applyFill="1" applyBorder="1" applyAlignment="1">
      <alignment horizontal="center" vertical="top"/>
    </xf>
    <xf numFmtId="0" fontId="32" fillId="7" borderId="54" xfId="0" applyFont="1" applyFill="1" applyBorder="1" applyAlignment="1">
      <alignment horizontal="left" vertical="top" wrapText="1"/>
    </xf>
    <xf numFmtId="3" fontId="33" fillId="26" borderId="54" xfId="0" applyNumberFormat="1" applyFont="1" applyFill="1" applyBorder="1" applyAlignment="1">
      <alignment vertical="top"/>
    </xf>
    <xf numFmtId="3" fontId="33" fillId="26" borderId="55" xfId="0" applyNumberFormat="1" applyFont="1" applyFill="1" applyBorder="1" applyAlignment="1">
      <alignment vertical="top"/>
    </xf>
    <xf numFmtId="49" fontId="33" fillId="0" borderId="15" xfId="0" applyNumberFormat="1" applyFont="1" applyFill="1" applyBorder="1" applyAlignment="1">
      <alignment horizontal="center" vertical="top"/>
    </xf>
    <xf numFmtId="3" fontId="33" fillId="26" borderId="44" xfId="0" applyNumberFormat="1" applyFont="1" applyFill="1" applyBorder="1" applyAlignment="1">
      <alignment vertical="top"/>
    </xf>
    <xf numFmtId="0" fontId="33" fillId="7" borderId="21" xfId="0" applyFont="1" applyFill="1" applyBorder="1" applyAlignment="1">
      <alignment horizontal="center" vertical="top"/>
    </xf>
    <xf numFmtId="0" fontId="32" fillId="7" borderId="21" xfId="0" applyFont="1" applyFill="1" applyBorder="1" applyAlignment="1">
      <alignment horizontal="left" vertical="top" wrapText="1"/>
    </xf>
    <xf numFmtId="3" fontId="33" fillId="26" borderId="21" xfId="0" applyNumberFormat="1" applyFont="1" applyFill="1" applyBorder="1" applyAlignment="1">
      <alignment vertical="top"/>
    </xf>
    <xf numFmtId="3" fontId="33" fillId="26" borderId="51" xfId="0" applyNumberFormat="1" applyFont="1" applyFill="1" applyBorder="1" applyAlignment="1">
      <alignment vertical="top"/>
    </xf>
    <xf numFmtId="0" fontId="22" fillId="0" borderId="24" xfId="0" applyFont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20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0" fontId="39" fillId="32" borderId="24" xfId="0" applyNumberFormat="1" applyFont="1" applyFill="1" applyBorder="1" applyAlignment="1">
      <alignment vertical="top" wrapText="1"/>
    </xf>
    <xf numFmtId="49" fontId="33" fillId="0" borderId="56" xfId="0" applyNumberFormat="1" applyFont="1" applyBorder="1" applyAlignment="1">
      <alignment horizontal="center" vertical="top"/>
    </xf>
    <xf numFmtId="0" fontId="33" fillId="0" borderId="56" xfId="0" applyFont="1" applyBorder="1" applyAlignment="1">
      <alignment horizontal="center" vertical="top"/>
    </xf>
    <xf numFmtId="0" fontId="32" fillId="0" borderId="56" xfId="0" applyFont="1" applyBorder="1" applyAlignment="1">
      <alignment horizontal="left" vertical="top" wrapText="1"/>
    </xf>
    <xf numFmtId="3" fontId="33" fillId="0" borderId="57" xfId="0" applyNumberFormat="1" applyFont="1" applyFill="1" applyBorder="1" applyAlignment="1">
      <alignment vertical="top"/>
    </xf>
    <xf numFmtId="0" fontId="32" fillId="32" borderId="18" xfId="0" applyFont="1" applyFill="1" applyBorder="1" applyAlignment="1">
      <alignment horizontal="left" vertical="top" wrapText="1"/>
    </xf>
    <xf numFmtId="3" fontId="33" fillId="32" borderId="23" xfId="0" applyNumberFormat="1" applyFont="1" applyFill="1" applyBorder="1" applyAlignment="1">
      <alignment vertical="top"/>
    </xf>
    <xf numFmtId="10" fontId="33" fillId="32" borderId="40" xfId="0" applyNumberFormat="1" applyFont="1" applyFill="1" applyBorder="1" applyAlignment="1">
      <alignment vertical="top"/>
    </xf>
    <xf numFmtId="0" fontId="39" fillId="41" borderId="18" xfId="0" applyFont="1" applyFill="1" applyBorder="1" applyAlignment="1">
      <alignment horizontal="left" vertical="top" wrapText="1"/>
    </xf>
    <xf numFmtId="0" fontId="33" fillId="6" borderId="18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0" fontId="20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 wrapText="1"/>
    </xf>
    <xf numFmtId="0" fontId="32" fillId="26" borderId="50" xfId="0" applyFont="1" applyFill="1" applyBorder="1" applyAlignment="1">
      <alignment horizontal="left" vertical="top" wrapText="1"/>
    </xf>
    <xf numFmtId="3" fontId="33" fillId="26" borderId="50" xfId="0" applyNumberFormat="1" applyFont="1" applyFill="1" applyBorder="1" applyAlignment="1">
      <alignment vertical="top"/>
    </xf>
    <xf numFmtId="10" fontId="32" fillId="0" borderId="24" xfId="0" applyNumberFormat="1" applyFont="1" applyFill="1" applyBorder="1" applyAlignment="1">
      <alignment horizontal="left" vertical="top" wrapText="1"/>
    </xf>
    <xf numFmtId="0" fontId="19" fillId="0" borderId="23" xfId="0" applyFont="1" applyBorder="1" applyAlignment="1">
      <alignment horizontal="center"/>
    </xf>
    <xf numFmtId="3" fontId="22" fillId="0" borderId="23" xfId="0" applyNumberFormat="1" applyFont="1" applyBorder="1" applyAlignment="1">
      <alignment vertical="top"/>
    </xf>
    <xf numFmtId="3" fontId="22" fillId="25" borderId="23" xfId="0" applyNumberFormat="1" applyFont="1" applyFill="1" applyBorder="1" applyAlignment="1">
      <alignment/>
    </xf>
    <xf numFmtId="3" fontId="33" fillId="42" borderId="24" xfId="0" applyNumberFormat="1" applyFont="1" applyFill="1" applyBorder="1" applyAlignment="1">
      <alignment vertical="top"/>
    </xf>
    <xf numFmtId="10" fontId="39" fillId="0" borderId="58" xfId="0" applyNumberFormat="1" applyFont="1" applyFill="1" applyBorder="1" applyAlignment="1">
      <alignment vertical="top" wrapText="1"/>
    </xf>
    <xf numFmtId="10" fontId="39" fillId="0" borderId="59" xfId="0" applyNumberFormat="1" applyFont="1" applyFill="1" applyBorder="1" applyAlignment="1">
      <alignment vertical="top" wrapText="1"/>
    </xf>
    <xf numFmtId="10" fontId="32" fillId="29" borderId="24" xfId="0" applyNumberFormat="1" applyFont="1" applyFill="1" applyBorder="1" applyAlignment="1">
      <alignment vertical="top" wrapText="1"/>
    </xf>
    <xf numFmtId="0" fontId="0" fillId="0" borderId="39" xfId="0" applyFill="1" applyBorder="1" applyAlignment="1">
      <alignment horizontal="left" vertical="top" wrapText="1"/>
    </xf>
    <xf numFmtId="49" fontId="33" fillId="0" borderId="25" xfId="0" applyNumberFormat="1" applyFont="1" applyFill="1" applyBorder="1" applyAlignment="1">
      <alignment horizontal="center" vertical="top"/>
    </xf>
    <xf numFmtId="0" fontId="33" fillId="0" borderId="25" xfId="0" applyFont="1" applyFill="1" applyBorder="1" applyAlignment="1">
      <alignment horizontal="center" vertical="top"/>
    </xf>
    <xf numFmtId="0" fontId="33" fillId="26" borderId="25" xfId="0" applyFont="1" applyFill="1" applyBorder="1" applyAlignment="1">
      <alignment horizontal="center" vertical="top"/>
    </xf>
    <xf numFmtId="0" fontId="32" fillId="26" borderId="25" xfId="0" applyFont="1" applyFill="1" applyBorder="1" applyAlignment="1">
      <alignment horizontal="left" vertical="top" wrapText="1"/>
    </xf>
    <xf numFmtId="3" fontId="33" fillId="26" borderId="60" xfId="0" applyNumberFormat="1" applyFont="1" applyFill="1" applyBorder="1" applyAlignment="1">
      <alignment vertical="top"/>
    </xf>
    <xf numFmtId="10" fontId="33" fillId="0" borderId="61" xfId="0" applyNumberFormat="1" applyFont="1" applyBorder="1" applyAlignment="1">
      <alignment vertical="top"/>
    </xf>
    <xf numFmtId="0" fontId="33" fillId="26" borderId="24" xfId="0" applyFont="1" applyFill="1" applyBorder="1" applyAlignment="1">
      <alignment horizontal="center" vertical="top"/>
    </xf>
    <xf numFmtId="0" fontId="32" fillId="26" borderId="24" xfId="0" applyFont="1" applyFill="1" applyBorder="1" applyAlignment="1">
      <alignment horizontal="left" vertical="top" wrapText="1"/>
    </xf>
    <xf numFmtId="10" fontId="32" fillId="0" borderId="50" xfId="0" applyNumberFormat="1" applyFont="1" applyFill="1" applyBorder="1" applyAlignment="1">
      <alignment vertical="top" wrapText="1"/>
    </xf>
    <xf numFmtId="3" fontId="33" fillId="39" borderId="23" xfId="0" applyNumberFormat="1" applyFont="1" applyFill="1" applyBorder="1" applyAlignment="1">
      <alignment vertical="top"/>
    </xf>
    <xf numFmtId="0" fontId="36" fillId="30" borderId="18" xfId="0" applyFont="1" applyFill="1" applyBorder="1" applyAlignment="1">
      <alignment/>
    </xf>
    <xf numFmtId="49" fontId="0" fillId="0" borderId="24" xfId="54" applyNumberFormat="1" applyFont="1" applyFill="1" applyBorder="1" applyAlignment="1">
      <alignment horizontal="center" vertical="top" wrapText="1"/>
      <protection/>
    </xf>
    <xf numFmtId="3" fontId="24" fillId="20" borderId="40" xfId="0" applyNumberFormat="1" applyFont="1" applyFill="1" applyBorder="1" applyAlignment="1">
      <alignment horizontal="center" vertical="top" wrapText="1"/>
    </xf>
    <xf numFmtId="3" fontId="20" fillId="20" borderId="62" xfId="0" applyNumberFormat="1" applyFont="1" applyFill="1" applyBorder="1" applyAlignment="1">
      <alignment horizontal="center" vertical="top" wrapText="1"/>
    </xf>
    <xf numFmtId="3" fontId="24" fillId="20" borderId="62" xfId="0" applyNumberFormat="1" applyFont="1" applyFill="1" applyBorder="1" applyAlignment="1">
      <alignment horizontal="center" vertical="top" wrapText="1"/>
    </xf>
    <xf numFmtId="49" fontId="19" fillId="25" borderId="39" xfId="0" applyNumberFormat="1" applyFont="1" applyFill="1" applyBorder="1" applyAlignment="1">
      <alignment horizontal="center" vertical="top" wrapText="1"/>
    </xf>
    <xf numFmtId="49" fontId="19" fillId="20" borderId="39" xfId="0" applyNumberFormat="1" applyFont="1" applyFill="1" applyBorder="1" applyAlignment="1">
      <alignment horizontal="center" vertical="top" wrapText="1"/>
    </xf>
    <xf numFmtId="0" fontId="0" fillId="0" borderId="39" xfId="54" applyFont="1" applyFill="1" applyBorder="1" applyAlignment="1">
      <alignment horizontal="left" vertical="top" wrapText="1"/>
      <protection/>
    </xf>
    <xf numFmtId="0" fontId="0" fillId="0" borderId="39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vertical="top" wrapText="1"/>
    </xf>
    <xf numFmtId="0" fontId="0" fillId="24" borderId="39" xfId="0" applyFont="1" applyFill="1" applyBorder="1" applyAlignment="1">
      <alignment vertical="top" wrapText="1"/>
    </xf>
    <xf numFmtId="0" fontId="0" fillId="0" borderId="39" xfId="53" applyFont="1" applyFill="1" applyBorder="1" applyAlignment="1">
      <alignment horizontal="left" vertical="top" wrapText="1"/>
      <protection/>
    </xf>
    <xf numFmtId="0" fontId="26" fillId="22" borderId="39" xfId="54" applyFont="1" applyFill="1" applyBorder="1" applyAlignment="1">
      <alignment horizontal="left" vertical="top" wrapText="1"/>
      <protection/>
    </xf>
    <xf numFmtId="49" fontId="0" fillId="25" borderId="39" xfId="0" applyNumberFormat="1" applyFont="1" applyFill="1" applyBorder="1" applyAlignment="1">
      <alignment horizontal="center" vertical="top" wrapText="1"/>
    </xf>
    <xf numFmtId="49" fontId="0" fillId="0" borderId="39" xfId="0" applyNumberFormat="1" applyFill="1" applyBorder="1" applyAlignment="1">
      <alignment vertical="top" wrapText="1"/>
    </xf>
    <xf numFmtId="0" fontId="0" fillId="0" borderId="39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10" fontId="32" fillId="0" borderId="24" xfId="0" applyNumberFormat="1" applyFont="1" applyBorder="1" applyAlignment="1">
      <alignment vertical="top" wrapText="1"/>
    </xf>
    <xf numFmtId="10" fontId="32" fillId="32" borderId="24" xfId="0" applyNumberFormat="1" applyFont="1" applyFill="1" applyBorder="1" applyAlignment="1">
      <alignment vertical="top" wrapText="1"/>
    </xf>
    <xf numFmtId="10" fontId="32" fillId="32" borderId="24" xfId="0" applyNumberFormat="1" applyFont="1" applyFill="1" applyBorder="1" applyAlignment="1">
      <alignment vertical="top" wrapText="1"/>
    </xf>
    <xf numFmtId="10" fontId="39" fillId="0" borderId="33" xfId="0" applyNumberFormat="1" applyFont="1" applyBorder="1" applyAlignment="1">
      <alignment vertical="top" wrapText="1"/>
    </xf>
    <xf numFmtId="0" fontId="33" fillId="7" borderId="63" xfId="0" applyFont="1" applyFill="1" applyBorder="1" applyAlignment="1">
      <alignment horizontal="center" vertical="top"/>
    </xf>
    <xf numFmtId="0" fontId="32" fillId="7" borderId="63" xfId="0" applyFont="1" applyFill="1" applyBorder="1" applyAlignment="1">
      <alignment horizontal="left" vertical="top" wrapText="1"/>
    </xf>
    <xf numFmtId="3" fontId="33" fillId="26" borderId="63" xfId="0" applyNumberFormat="1" applyFont="1" applyFill="1" applyBorder="1" applyAlignment="1">
      <alignment vertical="top"/>
    </xf>
    <xf numFmtId="49" fontId="33" fillId="0" borderId="64" xfId="0" applyNumberFormat="1" applyFont="1" applyBorder="1" applyAlignment="1">
      <alignment horizontal="center" vertical="top"/>
    </xf>
    <xf numFmtId="0" fontId="33" fillId="0" borderId="50" xfId="0" applyFont="1" applyBorder="1" applyAlignment="1">
      <alignment horizontal="center" vertical="top"/>
    </xf>
    <xf numFmtId="0" fontId="33" fillId="7" borderId="50" xfId="0" applyFont="1" applyFill="1" applyBorder="1" applyAlignment="1">
      <alignment horizontal="center" vertical="top"/>
    </xf>
    <xf numFmtId="0" fontId="32" fillId="7" borderId="50" xfId="0" applyFont="1" applyFill="1" applyBorder="1" applyAlignment="1">
      <alignment horizontal="left" vertical="top" wrapText="1"/>
    </xf>
    <xf numFmtId="10" fontId="39" fillId="0" borderId="59" xfId="0" applyNumberFormat="1" applyFont="1" applyBorder="1" applyAlignment="1">
      <alignment vertical="top" wrapText="1"/>
    </xf>
    <xf numFmtId="10" fontId="32" fillId="0" borderId="25" xfId="0" applyNumberFormat="1" applyFont="1" applyBorder="1" applyAlignment="1">
      <alignment vertical="top" wrapText="1"/>
    </xf>
    <xf numFmtId="49" fontId="33" fillId="0" borderId="65" xfId="0" applyNumberFormat="1" applyFont="1" applyBorder="1" applyAlignment="1">
      <alignment horizontal="center" vertical="top"/>
    </xf>
    <xf numFmtId="10" fontId="39" fillId="0" borderId="66" xfId="0" applyNumberFormat="1" applyFont="1" applyBorder="1" applyAlignment="1">
      <alignment vertical="top" wrapText="1"/>
    </xf>
    <xf numFmtId="49" fontId="33" fillId="0" borderId="67" xfId="0" applyNumberFormat="1" applyFont="1" applyFill="1" applyBorder="1" applyAlignment="1">
      <alignment horizontal="center" vertical="top"/>
    </xf>
    <xf numFmtId="0" fontId="33" fillId="0" borderId="63" xfId="0" applyFont="1" applyFill="1" applyBorder="1" applyAlignment="1">
      <alignment horizontal="center" vertical="top"/>
    </xf>
    <xf numFmtId="49" fontId="33" fillId="0" borderId="32" xfId="0" applyNumberFormat="1" applyFont="1" applyBorder="1" applyAlignment="1">
      <alignment horizontal="center" vertical="top"/>
    </xf>
    <xf numFmtId="10" fontId="39" fillId="0" borderId="33" xfId="0" applyNumberFormat="1" applyFont="1" applyFill="1" applyBorder="1" applyAlignment="1">
      <alignment vertical="top" wrapText="1"/>
    </xf>
    <xf numFmtId="4" fontId="0" fillId="0" borderId="40" xfId="0" applyNumberFormat="1" applyFont="1" applyFill="1" applyBorder="1" applyAlignment="1">
      <alignment horizontal="right" vertical="top"/>
    </xf>
    <xf numFmtId="4" fontId="0" fillId="0" borderId="39" xfId="0" applyNumberFormat="1" applyFont="1" applyFill="1" applyBorder="1" applyAlignment="1">
      <alignment horizontal="right" vertical="top"/>
    </xf>
    <xf numFmtId="4" fontId="0" fillId="0" borderId="41" xfId="0" applyNumberFormat="1" applyFont="1" applyFill="1" applyBorder="1" applyAlignment="1">
      <alignment horizontal="right" vertical="top"/>
    </xf>
    <xf numFmtId="4" fontId="19" fillId="25" borderId="40" xfId="0" applyNumberFormat="1" applyFont="1" applyFill="1" applyBorder="1" applyAlignment="1">
      <alignment horizontal="right" vertical="top"/>
    </xf>
    <xf numFmtId="4" fontId="19" fillId="20" borderId="40" xfId="0" applyNumberFormat="1" applyFont="1" applyFill="1" applyBorder="1" applyAlignment="1">
      <alignment horizontal="right" vertical="top"/>
    </xf>
    <xf numFmtId="4" fontId="0" fillId="0" borderId="40" xfId="0" applyNumberFormat="1" applyFont="1" applyFill="1" applyBorder="1" applyAlignment="1">
      <alignment vertical="top"/>
    </xf>
    <xf numFmtId="4" fontId="19" fillId="20" borderId="62" xfId="0" applyNumberFormat="1" applyFont="1" applyFill="1" applyBorder="1" applyAlignment="1">
      <alignment horizontal="right" vertical="top"/>
    </xf>
    <xf numFmtId="4" fontId="19" fillId="20" borderId="32" xfId="0" applyNumberFormat="1" applyFont="1" applyFill="1" applyBorder="1" applyAlignment="1">
      <alignment horizontal="right" vertical="top"/>
    </xf>
    <xf numFmtId="4" fontId="19" fillId="25" borderId="62" xfId="0" applyNumberFormat="1" applyFont="1" applyFill="1" applyBorder="1" applyAlignment="1">
      <alignment horizontal="right" vertical="top"/>
    </xf>
    <xf numFmtId="4" fontId="26" fillId="22" borderId="40" xfId="0" applyNumberFormat="1" applyFont="1" applyFill="1" applyBorder="1" applyAlignment="1">
      <alignment vertical="top"/>
    </xf>
    <xf numFmtId="4" fontId="26" fillId="22" borderId="41" xfId="0" applyNumberFormat="1" applyFont="1" applyFill="1" applyBorder="1" applyAlignment="1">
      <alignment horizontal="right" vertical="top"/>
    </xf>
    <xf numFmtId="4" fontId="0" fillId="0" borderId="39" xfId="0" applyNumberFormat="1" applyFont="1" applyFill="1" applyBorder="1" applyAlignment="1">
      <alignment vertical="top"/>
    </xf>
    <xf numFmtId="4" fontId="19" fillId="25" borderId="32" xfId="0" applyNumberFormat="1" applyFont="1" applyFill="1" applyBorder="1" applyAlignment="1">
      <alignment horizontal="right" vertical="top"/>
    </xf>
    <xf numFmtId="4" fontId="19" fillId="25" borderId="68" xfId="0" applyNumberFormat="1" applyFont="1" applyFill="1" applyBorder="1" applyAlignment="1">
      <alignment horizontal="right" vertical="top"/>
    </xf>
    <xf numFmtId="4" fontId="0" fillId="0" borderId="62" xfId="0" applyNumberFormat="1" applyFont="1" applyFill="1" applyBorder="1" applyAlignment="1">
      <alignment vertical="top"/>
    </xf>
    <xf numFmtId="4" fontId="19" fillId="0" borderId="69" xfId="0" applyNumberFormat="1" applyFont="1" applyFill="1" applyBorder="1" applyAlignment="1">
      <alignment vertical="top"/>
    </xf>
    <xf numFmtId="4" fontId="0" fillId="0" borderId="41" xfId="0" applyNumberFormat="1" applyFont="1" applyFill="1" applyBorder="1" applyAlignment="1">
      <alignment vertical="top"/>
    </xf>
    <xf numFmtId="4" fontId="0" fillId="24" borderId="41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20" borderId="39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4" fontId="0" fillId="0" borderId="41" xfId="0" applyNumberFormat="1" applyFont="1" applyFill="1" applyBorder="1" applyAlignment="1">
      <alignment horizontal="right" vertical="top"/>
    </xf>
    <xf numFmtId="4" fontId="0" fillId="0" borderId="62" xfId="0" applyNumberFormat="1" applyFont="1" applyFill="1" applyBorder="1" applyAlignment="1">
      <alignment horizontal="right" vertical="top"/>
    </xf>
    <xf numFmtId="4" fontId="0" fillId="0" borderId="40" xfId="0" applyNumberFormat="1" applyFont="1" applyFill="1" applyBorder="1" applyAlignment="1">
      <alignment horizontal="right" vertical="top"/>
    </xf>
    <xf numFmtId="4" fontId="0" fillId="24" borderId="62" xfId="0" applyNumberFormat="1" applyFont="1" applyFill="1" applyBorder="1" applyAlignment="1">
      <alignment horizontal="right" vertical="top"/>
    </xf>
    <xf numFmtId="4" fontId="0" fillId="24" borderId="40" xfId="0" applyNumberFormat="1" applyFont="1" applyFill="1" applyBorder="1" applyAlignment="1">
      <alignment horizontal="right" vertical="top"/>
    </xf>
    <xf numFmtId="4" fontId="19" fillId="20" borderId="70" xfId="0" applyNumberFormat="1" applyFont="1" applyFill="1" applyBorder="1" applyAlignment="1">
      <alignment horizontal="right" vertical="top"/>
    </xf>
    <xf numFmtId="4" fontId="19" fillId="20" borderId="42" xfId="0" applyNumberFormat="1" applyFont="1" applyFill="1" applyBorder="1" applyAlignment="1">
      <alignment horizontal="right" vertical="top"/>
    </xf>
    <xf numFmtId="4" fontId="50" fillId="0" borderId="71" xfId="0" applyNumberFormat="1" applyFont="1" applyFill="1" applyBorder="1" applyAlignment="1">
      <alignment vertical="top"/>
    </xf>
    <xf numFmtId="4" fontId="50" fillId="0" borderId="71" xfId="0" applyNumberFormat="1" applyFont="1" applyBorder="1" applyAlignment="1">
      <alignment vertical="top"/>
    </xf>
    <xf numFmtId="4" fontId="22" fillId="24" borderId="0" xfId="0" applyNumberFormat="1" applyFont="1" applyFill="1" applyAlignment="1">
      <alignment/>
    </xf>
    <xf numFmtId="0" fontId="41" fillId="0" borderId="24" xfId="0" applyFont="1" applyBorder="1" applyAlignment="1">
      <alignment/>
    </xf>
    <xf numFmtId="4" fontId="22" fillId="30" borderId="71" xfId="0" applyNumberFormat="1" applyFont="1" applyFill="1" applyBorder="1" applyAlignment="1">
      <alignment vertical="top"/>
    </xf>
    <xf numFmtId="4" fontId="22" fillId="0" borderId="71" xfId="0" applyNumberFormat="1" applyFont="1" applyFill="1" applyBorder="1" applyAlignment="1">
      <alignment vertical="top"/>
    </xf>
    <xf numFmtId="4" fontId="22" fillId="40" borderId="72" xfId="0" applyNumberFormat="1" applyFont="1" applyFill="1" applyBorder="1" applyAlignment="1">
      <alignment vertical="top"/>
    </xf>
    <xf numFmtId="4" fontId="22" fillId="29" borderId="71" xfId="0" applyNumberFormat="1" applyFont="1" applyFill="1" applyBorder="1" applyAlignment="1">
      <alignment vertical="top"/>
    </xf>
    <xf numFmtId="4" fontId="22" fillId="26" borderId="71" xfId="0" applyNumberFormat="1" applyFont="1" applyFill="1" applyBorder="1" applyAlignment="1">
      <alignment vertical="top"/>
    </xf>
    <xf numFmtId="4" fontId="22" fillId="0" borderId="41" xfId="0" applyNumberFormat="1" applyFont="1" applyFill="1" applyBorder="1" applyAlignment="1">
      <alignment vertical="top"/>
    </xf>
    <xf numFmtId="3" fontId="33" fillId="38" borderId="23" xfId="0" applyNumberFormat="1" applyFont="1" applyFill="1" applyBorder="1" applyAlignment="1">
      <alignment vertical="top"/>
    </xf>
    <xf numFmtId="0" fontId="33" fillId="43" borderId="18" xfId="0" applyFont="1" applyFill="1" applyBorder="1" applyAlignment="1">
      <alignment horizontal="center" vertical="top"/>
    </xf>
    <xf numFmtId="0" fontId="33" fillId="44" borderId="15" xfId="0" applyFont="1" applyFill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10" fontId="39" fillId="0" borderId="24" xfId="0" applyNumberFormat="1" applyFont="1" applyFill="1" applyBorder="1" applyAlignment="1">
      <alignment vertical="top" wrapText="1"/>
    </xf>
    <xf numFmtId="10" fontId="39" fillId="0" borderId="24" xfId="0" applyNumberFormat="1" applyFont="1" applyBorder="1" applyAlignment="1">
      <alignment vertical="top" wrapText="1"/>
    </xf>
    <xf numFmtId="10" fontId="39" fillId="24" borderId="24" xfId="0" applyNumberFormat="1" applyFont="1" applyFill="1" applyBorder="1" applyAlignment="1">
      <alignment vertical="top" wrapText="1"/>
    </xf>
    <xf numFmtId="10" fontId="47" fillId="24" borderId="24" xfId="0" applyNumberFormat="1" applyFont="1" applyFill="1" applyBorder="1" applyAlignment="1">
      <alignment vertical="top" wrapText="1"/>
    </xf>
    <xf numFmtId="10" fontId="22" fillId="6" borderId="47" xfId="0" applyNumberFormat="1" applyFont="1" applyFill="1" applyBorder="1" applyAlignment="1">
      <alignment vertical="top"/>
    </xf>
    <xf numFmtId="10" fontId="39" fillId="6" borderId="26" xfId="0" applyNumberFormat="1" applyFont="1" applyFill="1" applyBorder="1" applyAlignment="1">
      <alignment vertical="top" wrapText="1"/>
    </xf>
    <xf numFmtId="49" fontId="33" fillId="0" borderId="73" xfId="0" applyNumberFormat="1" applyFont="1" applyBorder="1" applyAlignment="1">
      <alignment horizontal="center" vertical="top"/>
    </xf>
    <xf numFmtId="0" fontId="33" fillId="0" borderId="74" xfId="0" applyFont="1" applyFill="1" applyBorder="1" applyAlignment="1">
      <alignment horizontal="center" vertical="top"/>
    </xf>
    <xf numFmtId="0" fontId="33" fillId="7" borderId="74" xfId="0" applyFont="1" applyFill="1" applyBorder="1" applyAlignment="1">
      <alignment horizontal="center" vertical="top"/>
    </xf>
    <xf numFmtId="0" fontId="32" fillId="27" borderId="74" xfId="0" applyFont="1" applyFill="1" applyBorder="1" applyAlignment="1">
      <alignment horizontal="left" vertical="top" wrapText="1"/>
    </xf>
    <xf numFmtId="3" fontId="33" fillId="26" borderId="74" xfId="0" applyNumberFormat="1" applyFont="1" applyFill="1" applyBorder="1" applyAlignment="1">
      <alignment vertical="top"/>
    </xf>
    <xf numFmtId="3" fontId="33" fillId="26" borderId="75" xfId="0" applyNumberFormat="1" applyFont="1" applyFill="1" applyBorder="1" applyAlignment="1">
      <alignment vertical="top"/>
    </xf>
    <xf numFmtId="10" fontId="33" fillId="0" borderId="76" xfId="0" applyNumberFormat="1" applyFont="1" applyBorder="1" applyAlignment="1">
      <alignment vertical="top"/>
    </xf>
    <xf numFmtId="10" fontId="32" fillId="0" borderId="58" xfId="0" applyNumberFormat="1" applyFont="1" applyBorder="1" applyAlignment="1">
      <alignment vertical="top" wrapText="1"/>
    </xf>
    <xf numFmtId="49" fontId="33" fillId="0" borderId="77" xfId="0" applyNumberFormat="1" applyFont="1" applyBorder="1" applyAlignment="1">
      <alignment horizontal="center" vertical="top"/>
    </xf>
    <xf numFmtId="10" fontId="32" fillId="0" borderId="33" xfId="0" applyNumberFormat="1" applyFont="1" applyBorder="1" applyAlignment="1">
      <alignment vertical="top" wrapText="1"/>
    </xf>
    <xf numFmtId="10" fontId="33" fillId="0" borderId="78" xfId="0" applyNumberFormat="1" applyFont="1" applyBorder="1" applyAlignment="1">
      <alignment vertical="top"/>
    </xf>
    <xf numFmtId="10" fontId="32" fillId="0" borderId="59" xfId="0" applyNumberFormat="1" applyFont="1" applyBorder="1" applyAlignment="1">
      <alignment vertical="top" wrapText="1"/>
    </xf>
    <xf numFmtId="3" fontId="33" fillId="26" borderId="79" xfId="0" applyNumberFormat="1" applyFont="1" applyFill="1" applyBorder="1" applyAlignment="1">
      <alignment vertical="top"/>
    </xf>
    <xf numFmtId="3" fontId="33" fillId="26" borderId="80" xfId="0" applyNumberFormat="1" applyFont="1" applyFill="1" applyBorder="1" applyAlignment="1">
      <alignment vertical="top"/>
    </xf>
    <xf numFmtId="3" fontId="33" fillId="26" borderId="39" xfId="0" applyNumberFormat="1" applyFont="1" applyFill="1" applyBorder="1" applyAlignment="1">
      <alignment vertical="top"/>
    </xf>
    <xf numFmtId="0" fontId="33" fillId="0" borderId="24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0" xfId="0" applyFont="1" applyAlignment="1">
      <alignment/>
    </xf>
    <xf numFmtId="10" fontId="22" fillId="0" borderId="24" xfId="0" applyNumberFormat="1" applyFont="1" applyBorder="1" applyAlignment="1">
      <alignment/>
    </xf>
    <xf numFmtId="0" fontId="22" fillId="0" borderId="0" xfId="0" applyFont="1" applyAlignment="1">
      <alignment horizontal="left" wrapText="1"/>
    </xf>
    <xf numFmtId="10" fontId="32" fillId="45" borderId="24" xfId="0" applyNumberFormat="1" applyFont="1" applyFill="1" applyBorder="1" applyAlignment="1">
      <alignment vertical="top" wrapText="1"/>
    </xf>
    <xf numFmtId="10" fontId="32" fillId="45" borderId="26" xfId="0" applyNumberFormat="1" applyFont="1" applyFill="1" applyBorder="1" applyAlignment="1">
      <alignment vertical="top" wrapText="1"/>
    </xf>
    <xf numFmtId="10" fontId="39" fillId="29" borderId="24" xfId="0" applyNumberFormat="1" applyFont="1" applyFill="1" applyBorder="1" applyAlignment="1">
      <alignment vertical="top" wrapText="1"/>
    </xf>
    <xf numFmtId="0" fontId="19" fillId="0" borderId="24" xfId="0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Fill="1" applyBorder="1" applyAlignment="1">
      <alignment horizontal="right" vertical="top"/>
    </xf>
    <xf numFmtId="49" fontId="0" fillId="0" borderId="24" xfId="53" applyNumberFormat="1" applyFont="1" applyFill="1" applyBorder="1" applyAlignment="1">
      <alignment horizontal="center" vertical="top" wrapText="1"/>
      <protection/>
    </xf>
    <xf numFmtId="0" fontId="0" fillId="0" borderId="39" xfId="53" applyFont="1" applyFill="1" applyBorder="1" applyAlignment="1">
      <alignment vertical="top" wrapText="1"/>
      <protection/>
    </xf>
    <xf numFmtId="0" fontId="0" fillId="0" borderId="24" xfId="0" applyFont="1" applyFill="1" applyBorder="1" applyAlignment="1">
      <alignment vertical="top" wrapText="1"/>
    </xf>
    <xf numFmtId="3" fontId="33" fillId="46" borderId="18" xfId="0" applyNumberFormat="1" applyFont="1" applyFill="1" applyBorder="1" applyAlignment="1">
      <alignment vertical="top"/>
    </xf>
    <xf numFmtId="3" fontId="33" fillId="46" borderId="56" xfId="0" applyNumberFormat="1" applyFont="1" applyFill="1" applyBorder="1" applyAlignment="1">
      <alignment vertical="top"/>
    </xf>
    <xf numFmtId="3" fontId="33" fillId="46" borderId="25" xfId="0" applyNumberFormat="1" applyFont="1" applyFill="1" applyBorder="1" applyAlignment="1">
      <alignment vertical="top"/>
    </xf>
    <xf numFmtId="3" fontId="33" fillId="46" borderId="24" xfId="0" applyNumberFormat="1" applyFont="1" applyFill="1" applyBorder="1" applyAlignment="1">
      <alignment vertical="top"/>
    </xf>
    <xf numFmtId="3" fontId="33" fillId="47" borderId="18" xfId="0" applyNumberFormat="1" applyFont="1" applyFill="1" applyBorder="1" applyAlignment="1">
      <alignment vertical="top"/>
    </xf>
    <xf numFmtId="3" fontId="33" fillId="46" borderId="21" xfId="0" applyNumberFormat="1" applyFont="1" applyFill="1" applyBorder="1" applyAlignment="1">
      <alignment vertical="top"/>
    </xf>
    <xf numFmtId="3" fontId="33" fillId="46" borderId="18" xfId="0" applyNumberFormat="1" applyFont="1" applyFill="1" applyBorder="1" applyAlignment="1">
      <alignment vertical="top"/>
    </xf>
    <xf numFmtId="3" fontId="22" fillId="20" borderId="68" xfId="0" applyNumberFormat="1" applyFont="1" applyFill="1" applyBorder="1" applyAlignment="1">
      <alignment vertical="top" wrapText="1"/>
    </xf>
    <xf numFmtId="3" fontId="22" fillId="28" borderId="41" xfId="0" applyNumberFormat="1" applyFont="1" applyFill="1" applyBorder="1" applyAlignment="1">
      <alignment vertical="top" wrapText="1"/>
    </xf>
    <xf numFmtId="0" fontId="22" fillId="40" borderId="21" xfId="0" applyFont="1" applyFill="1" applyBorder="1" applyAlignment="1">
      <alignment vertical="top"/>
    </xf>
    <xf numFmtId="3" fontId="22" fillId="40" borderId="45" xfId="0" applyNumberFormat="1" applyFont="1" applyFill="1" applyBorder="1" applyAlignment="1">
      <alignment vertical="top"/>
    </xf>
    <xf numFmtId="0" fontId="22" fillId="40" borderId="21" xfId="0" applyFont="1" applyFill="1" applyBorder="1" applyAlignment="1">
      <alignment/>
    </xf>
    <xf numFmtId="3" fontId="33" fillId="0" borderId="24" xfId="0" applyNumberFormat="1" applyFont="1" applyFill="1" applyBorder="1" applyAlignment="1">
      <alignment vertical="top"/>
    </xf>
    <xf numFmtId="3" fontId="33" fillId="0" borderId="24" xfId="0" applyNumberFormat="1" applyFont="1" applyFill="1" applyBorder="1" applyAlignment="1">
      <alignment vertical="top" wrapText="1"/>
    </xf>
    <xf numFmtId="3" fontId="22" fillId="0" borderId="41" xfId="0" applyNumberFormat="1" applyFont="1" applyBorder="1" applyAlignment="1">
      <alignment vertical="top" wrapText="1"/>
    </xf>
    <xf numFmtId="3" fontId="22" fillId="20" borderId="41" xfId="0" applyNumberFormat="1" applyFont="1" applyFill="1" applyBorder="1" applyAlignment="1">
      <alignment vertical="top" wrapText="1"/>
    </xf>
    <xf numFmtId="3" fontId="22" fillId="20" borderId="39" xfId="0" applyNumberFormat="1" applyFont="1" applyFill="1" applyBorder="1" applyAlignment="1">
      <alignment vertical="top" wrapText="1"/>
    </xf>
    <xf numFmtId="3" fontId="22" fillId="0" borderId="41" xfId="0" applyNumberFormat="1" applyFont="1" applyFill="1" applyBorder="1" applyAlignment="1">
      <alignment vertical="top" wrapText="1"/>
    </xf>
    <xf numFmtId="3" fontId="22" fillId="21" borderId="42" xfId="0" applyNumberFormat="1" applyFont="1" applyFill="1" applyBorder="1" applyAlignment="1">
      <alignment vertical="top" wrapText="1"/>
    </xf>
    <xf numFmtId="3" fontId="22" fillId="26" borderId="41" xfId="0" applyNumberFormat="1" applyFont="1" applyFill="1" applyBorder="1" applyAlignment="1">
      <alignment vertical="top"/>
    </xf>
    <xf numFmtId="3" fontId="22" fillId="26" borderId="41" xfId="0" applyNumberFormat="1" applyFont="1" applyFill="1" applyBorder="1" applyAlignment="1">
      <alignment vertical="top"/>
    </xf>
    <xf numFmtId="3" fontId="33" fillId="0" borderId="24" xfId="0" applyNumberFormat="1" applyFont="1" applyFill="1" applyBorder="1" applyAlignment="1">
      <alignment vertical="top" wrapText="1"/>
    </xf>
    <xf numFmtId="0" fontId="0" fillId="32" borderId="18" xfId="0" applyFont="1" applyFill="1" applyBorder="1" applyAlignment="1">
      <alignment vertical="center" wrapText="1"/>
    </xf>
    <xf numFmtId="0" fontId="0" fillId="32" borderId="23" xfId="0" applyFont="1" applyFill="1" applyBorder="1" applyAlignment="1">
      <alignment horizontal="center" vertical="center"/>
    </xf>
    <xf numFmtId="3" fontId="33" fillId="42" borderId="18" xfId="0" applyNumberFormat="1" applyFont="1" applyFill="1" applyBorder="1" applyAlignment="1">
      <alignment vertical="top"/>
    </xf>
    <xf numFmtId="3" fontId="33" fillId="42" borderId="23" xfId="0" applyNumberFormat="1" applyFont="1" applyFill="1" applyBorder="1" applyAlignment="1">
      <alignment vertical="top"/>
    </xf>
    <xf numFmtId="49" fontId="62" fillId="40" borderId="18" xfId="0" applyNumberFormat="1" applyFont="1" applyFill="1" applyBorder="1" applyAlignment="1">
      <alignment horizontal="center" vertical="top"/>
    </xf>
    <xf numFmtId="0" fontId="62" fillId="40" borderId="18" xfId="0" applyFont="1" applyFill="1" applyBorder="1" applyAlignment="1">
      <alignment horizontal="center" vertical="top"/>
    </xf>
    <xf numFmtId="0" fontId="63" fillId="32" borderId="24" xfId="0" applyFont="1" applyFill="1" applyBorder="1" applyAlignment="1">
      <alignment vertical="top" wrapText="1"/>
    </xf>
    <xf numFmtId="3" fontId="62" fillId="42" borderId="18" xfId="0" applyNumberFormat="1" applyFont="1" applyFill="1" applyBorder="1" applyAlignment="1">
      <alignment vertical="top"/>
    </xf>
    <xf numFmtId="3" fontId="62" fillId="0" borderId="23" xfId="0" applyNumberFormat="1" applyFont="1" applyFill="1" applyBorder="1" applyAlignment="1">
      <alignment vertical="top"/>
    </xf>
    <xf numFmtId="10" fontId="62" fillId="0" borderId="40" xfId="0" applyNumberFormat="1" applyFont="1" applyBorder="1" applyAlignment="1">
      <alignment vertical="top"/>
    </xf>
    <xf numFmtId="0" fontId="66" fillId="32" borderId="24" xfId="0" applyFont="1" applyFill="1" applyBorder="1" applyAlignment="1">
      <alignment vertical="top" wrapText="1"/>
    </xf>
    <xf numFmtId="0" fontId="62" fillId="0" borderId="0" xfId="0" applyFont="1" applyAlignment="1">
      <alignment vertical="top"/>
    </xf>
    <xf numFmtId="3" fontId="66" fillId="32" borderId="24" xfId="0" applyNumberFormat="1" applyFont="1" applyFill="1" applyBorder="1" applyAlignment="1">
      <alignment vertical="top" wrapText="1"/>
    </xf>
    <xf numFmtId="0" fontId="63" fillId="0" borderId="24" xfId="0" applyFont="1" applyBorder="1" applyAlignment="1">
      <alignment vertical="top" wrapText="1"/>
    </xf>
    <xf numFmtId="0" fontId="66" fillId="0" borderId="24" xfId="0" applyFont="1" applyBorder="1" applyAlignment="1">
      <alignment vertical="top" wrapText="1"/>
    </xf>
    <xf numFmtId="0" fontId="62" fillId="42" borderId="18" xfId="0" applyFont="1" applyFill="1" applyBorder="1" applyAlignment="1">
      <alignment horizontal="center" vertical="top"/>
    </xf>
    <xf numFmtId="0" fontId="0" fillId="24" borderId="39" xfId="0" applyFill="1" applyBorder="1" applyAlignment="1">
      <alignment vertical="top" wrapText="1"/>
    </xf>
    <xf numFmtId="0" fontId="33" fillId="0" borderId="24" xfId="0" applyFont="1" applyFill="1" applyBorder="1" applyAlignment="1" applyProtection="1">
      <alignment horizontal="justify" vertical="top" wrapText="1"/>
      <protection hidden="1"/>
    </xf>
    <xf numFmtId="0" fontId="0" fillId="0" borderId="23" xfId="54" applyFont="1" applyFill="1" applyBorder="1" applyAlignment="1">
      <alignment horizontal="left" vertical="top" wrapText="1"/>
      <protection/>
    </xf>
    <xf numFmtId="49" fontId="0" fillId="0" borderId="24" xfId="53" applyNumberFormat="1" applyFont="1" applyFill="1" applyBorder="1" applyAlignment="1">
      <alignment horizontal="center" vertical="top"/>
      <protection/>
    </xf>
    <xf numFmtId="0" fontId="0" fillId="0" borderId="39" xfId="53" applyFont="1" applyBorder="1" applyAlignment="1">
      <alignment vertical="top" wrapText="1"/>
      <protection/>
    </xf>
    <xf numFmtId="49" fontId="0" fillId="0" borderId="18" xfId="54" applyNumberFormat="1" applyFont="1" applyFill="1" applyBorder="1" applyAlignment="1">
      <alignment horizontal="center" vertical="top" wrapText="1"/>
      <protection/>
    </xf>
    <xf numFmtId="0" fontId="0" fillId="0" borderId="39" xfId="54" applyFont="1" applyFill="1" applyBorder="1" applyAlignment="1">
      <alignment vertical="top" wrapText="1"/>
      <protection/>
    </xf>
    <xf numFmtId="0" fontId="0" fillId="0" borderId="39" xfId="54" applyFont="1" applyBorder="1" applyAlignment="1">
      <alignment vertical="top" wrapText="1"/>
      <protection/>
    </xf>
    <xf numFmtId="49" fontId="0" fillId="0" borderId="39" xfId="54" applyNumberFormat="1" applyFont="1" applyFill="1" applyBorder="1" applyAlignment="1">
      <alignment horizontal="left" vertical="top" wrapText="1"/>
      <protection/>
    </xf>
    <xf numFmtId="0" fontId="33" fillId="0" borderId="0" xfId="52" applyFont="1" applyBorder="1" applyAlignment="1">
      <alignment horizontal="right" vertical="top" wrapText="1"/>
      <protection/>
    </xf>
    <xf numFmtId="4" fontId="0" fillId="40" borderId="46" xfId="0" applyNumberFormat="1" applyFont="1" applyFill="1" applyBorder="1" applyAlignment="1">
      <alignment horizontal="right" vertical="top"/>
    </xf>
    <xf numFmtId="4" fontId="0" fillId="40" borderId="39" xfId="0" applyNumberFormat="1" applyFont="1" applyFill="1" applyBorder="1" applyAlignment="1">
      <alignment horizontal="right" vertical="top"/>
    </xf>
    <xf numFmtId="4" fontId="19" fillId="40" borderId="48" xfId="0" applyNumberFormat="1" applyFont="1" applyFill="1" applyBorder="1" applyAlignment="1">
      <alignment horizontal="right" vertical="top"/>
    </xf>
    <xf numFmtId="4" fontId="19" fillId="40" borderId="42" xfId="0" applyNumberFormat="1" applyFont="1" applyFill="1" applyBorder="1" applyAlignment="1">
      <alignment horizontal="right" vertical="top"/>
    </xf>
    <xf numFmtId="0" fontId="19" fillId="20" borderId="81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10" fontId="32" fillId="0" borderId="40" xfId="0" applyNumberFormat="1" applyFont="1" applyBorder="1" applyAlignment="1">
      <alignment vertical="top"/>
    </xf>
    <xf numFmtId="0" fontId="39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vertical="top"/>
      <protection hidden="1"/>
    </xf>
    <xf numFmtId="0" fontId="32" fillId="0" borderId="0" xfId="0" applyFont="1" applyBorder="1" applyAlignment="1">
      <alignment horizontal="right"/>
    </xf>
    <xf numFmtId="0" fontId="22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Border="1" applyAlignment="1" applyProtection="1">
      <alignment horizontal="right" vertical="top" wrapText="1"/>
      <protection hidden="1"/>
    </xf>
    <xf numFmtId="0" fontId="33" fillId="0" borderId="0" xfId="0" applyFont="1" applyAlignment="1" applyProtection="1">
      <alignment vertical="top"/>
      <protection hidden="1"/>
    </xf>
    <xf numFmtId="0" fontId="40" fillId="0" borderId="0" xfId="0" applyFont="1" applyBorder="1" applyAlignment="1" applyProtection="1">
      <alignment horizontal="center" vertical="top"/>
      <protection hidden="1"/>
    </xf>
    <xf numFmtId="0" fontId="22" fillId="0" borderId="53" xfId="0" applyFont="1" applyBorder="1" applyAlignment="1" applyProtection="1">
      <alignment horizontal="center" vertical="top"/>
      <protection hidden="1"/>
    </xf>
    <xf numFmtId="0" fontId="22" fillId="0" borderId="53" xfId="0" applyFont="1" applyBorder="1" applyAlignment="1" applyProtection="1">
      <alignment vertical="top" wrapText="1"/>
      <protection hidden="1"/>
    </xf>
    <xf numFmtId="3" fontId="33" fillId="0" borderId="53" xfId="0" applyNumberFormat="1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center" vertical="top" wrapText="1"/>
      <protection hidden="1"/>
    </xf>
    <xf numFmtId="3" fontId="22" fillId="0" borderId="15" xfId="0" applyNumberFormat="1" applyFont="1" applyBorder="1" applyAlignment="1" applyProtection="1">
      <alignment horizontal="center" vertical="top"/>
      <protection hidden="1"/>
    </xf>
    <xf numFmtId="0" fontId="44" fillId="0" borderId="15" xfId="0" applyFont="1" applyBorder="1" applyAlignment="1" applyProtection="1">
      <alignment horizontal="center" vertical="top"/>
      <protection hidden="1"/>
    </xf>
    <xf numFmtId="0" fontId="44" fillId="0" borderId="15" xfId="0" applyFont="1" applyBorder="1" applyAlignment="1" applyProtection="1">
      <alignment horizontal="center" vertical="top" wrapText="1"/>
      <protection hidden="1"/>
    </xf>
    <xf numFmtId="3" fontId="44" fillId="0" borderId="15" xfId="0" applyNumberFormat="1" applyFont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vertical="top"/>
      <protection hidden="1"/>
    </xf>
    <xf numFmtId="0" fontId="33" fillId="0" borderId="15" xfId="0" applyFont="1" applyBorder="1" applyAlignment="1" applyProtection="1">
      <alignment horizontal="center" vertical="top" wrapText="1"/>
      <protection hidden="1"/>
    </xf>
    <xf numFmtId="0" fontId="33" fillId="0" borderId="18" xfId="0" applyFont="1" applyBorder="1" applyAlignment="1" applyProtection="1">
      <alignment horizontal="center" vertical="top"/>
      <protection hidden="1"/>
    </xf>
    <xf numFmtId="0" fontId="33" fillId="26" borderId="18" xfId="0" applyFont="1" applyFill="1" applyBorder="1" applyAlignment="1" applyProtection="1">
      <alignment horizontal="center" vertical="top"/>
      <protection hidden="1"/>
    </xf>
    <xf numFmtId="0" fontId="33" fillId="26" borderId="18" xfId="0" applyFont="1" applyFill="1" applyBorder="1" applyAlignment="1" applyProtection="1">
      <alignment horizontal="justify" vertical="top" wrapText="1"/>
      <protection hidden="1"/>
    </xf>
    <xf numFmtId="0" fontId="0" fillId="0" borderId="24" xfId="0" applyFont="1" applyBorder="1" applyAlignment="1" applyProtection="1">
      <alignment horizontal="justify" vertical="top" wrapText="1"/>
      <protection hidden="1"/>
    </xf>
    <xf numFmtId="0" fontId="0" fillId="0" borderId="24" xfId="0" applyFont="1" applyBorder="1" applyAlignment="1" applyProtection="1">
      <alignment horizontal="center" vertical="top" wrapText="1"/>
      <protection hidden="1"/>
    </xf>
    <xf numFmtId="3" fontId="19" fillId="0" borderId="24" xfId="0" applyNumberFormat="1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3" fontId="22" fillId="20" borderId="82" xfId="0" applyNumberFormat="1" applyFont="1" applyFill="1" applyBorder="1" applyAlignment="1" applyProtection="1">
      <alignment vertical="top"/>
      <protection hidden="1"/>
    </xf>
    <xf numFmtId="0" fontId="33" fillId="0" borderId="0" xfId="0" applyFont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0" fontId="42" fillId="0" borderId="18" xfId="0" applyFont="1" applyBorder="1" applyAlignment="1" applyProtection="1">
      <alignment/>
      <protection hidden="1"/>
    </xf>
    <xf numFmtId="0" fontId="42" fillId="26" borderId="18" xfId="0" applyFont="1" applyFill="1" applyBorder="1" applyAlignment="1" applyProtection="1">
      <alignment/>
      <protection hidden="1"/>
    </xf>
    <xf numFmtId="3" fontId="42" fillId="26" borderId="18" xfId="0" applyNumberFormat="1" applyFont="1" applyFill="1" applyBorder="1" applyAlignment="1" applyProtection="1">
      <alignment/>
      <protection hidden="1"/>
    </xf>
    <xf numFmtId="3" fontId="42" fillId="0" borderId="1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0" borderId="44" xfId="0" applyFont="1" applyBorder="1" applyAlignment="1" applyProtection="1">
      <alignment horizontal="center" vertical="top" wrapText="1"/>
      <protection hidden="1"/>
    </xf>
    <xf numFmtId="3" fontId="22" fillId="26" borderId="21" xfId="0" applyNumberFormat="1" applyFont="1" applyFill="1" applyBorder="1" applyAlignment="1" applyProtection="1">
      <alignment vertical="top"/>
      <protection hidden="1"/>
    </xf>
    <xf numFmtId="3" fontId="22" fillId="0" borderId="24" xfId="0" applyNumberFormat="1" applyFont="1" applyFill="1" applyBorder="1" applyAlignment="1" applyProtection="1">
      <alignment vertical="top"/>
      <protection hidden="1"/>
    </xf>
    <xf numFmtId="10" fontId="39" fillId="6" borderId="40" xfId="0" applyNumberFormat="1" applyFont="1" applyFill="1" applyBorder="1" applyAlignment="1">
      <alignment vertical="top"/>
    </xf>
    <xf numFmtId="10" fontId="39" fillId="20" borderId="40" xfId="0" applyNumberFormat="1" applyFont="1" applyFill="1" applyBorder="1" applyAlignment="1">
      <alignment vertical="top"/>
    </xf>
    <xf numFmtId="10" fontId="19" fillId="21" borderId="40" xfId="0" applyNumberFormat="1" applyFont="1" applyFill="1" applyBorder="1" applyAlignment="1">
      <alignment horizontal="right" vertical="top"/>
    </xf>
    <xf numFmtId="4" fontId="19" fillId="21" borderId="32" xfId="0" applyNumberFormat="1" applyFont="1" applyFill="1" applyBorder="1" applyAlignment="1">
      <alignment horizontal="right" vertical="top"/>
    </xf>
    <xf numFmtId="4" fontId="19" fillId="21" borderId="62" xfId="0" applyNumberFormat="1" applyFont="1" applyFill="1" applyBorder="1" applyAlignment="1">
      <alignment horizontal="right" vertical="top"/>
    </xf>
    <xf numFmtId="3" fontId="22" fillId="20" borderId="23" xfId="0" applyNumberFormat="1" applyFont="1" applyFill="1" applyBorder="1" applyAlignment="1">
      <alignment vertical="top"/>
    </xf>
    <xf numFmtId="3" fontId="22" fillId="20" borderId="62" xfId="0" applyNumberFormat="1" applyFont="1" applyFill="1" applyBorder="1" applyAlignment="1">
      <alignment vertical="top" wrapText="1"/>
    </xf>
    <xf numFmtId="0" fontId="24" fillId="0" borderId="83" xfId="0" applyFont="1" applyFill="1" applyBorder="1" applyAlignment="1">
      <alignment horizontal="center" vertical="center"/>
    </xf>
    <xf numFmtId="4" fontId="0" fillId="0" borderId="62" xfId="0" applyNumberFormat="1" applyFont="1" applyFill="1" applyBorder="1" applyAlignment="1">
      <alignment horizontal="right" vertical="top"/>
    </xf>
    <xf numFmtId="4" fontId="26" fillId="22" borderId="62" xfId="0" applyNumberFormat="1" applyFont="1" applyFill="1" applyBorder="1" applyAlignment="1">
      <alignment vertical="top"/>
    </xf>
    <xf numFmtId="4" fontId="26" fillId="22" borderId="41" xfId="0" applyNumberFormat="1" applyFont="1" applyFill="1" applyBorder="1" applyAlignment="1">
      <alignment vertical="top"/>
    </xf>
    <xf numFmtId="0" fontId="24" fillId="0" borderId="39" xfId="0" applyFont="1" applyFill="1" applyBorder="1" applyAlignment="1">
      <alignment horizontal="center" vertical="center"/>
    </xf>
    <xf numFmtId="4" fontId="0" fillId="25" borderId="39" xfId="0" applyNumberFormat="1" applyFont="1" applyFill="1" applyBorder="1" applyAlignment="1">
      <alignment horizontal="right" vertical="top"/>
    </xf>
    <xf numFmtId="4" fontId="0" fillId="0" borderId="39" xfId="54" applyNumberFormat="1" applyFont="1" applyFill="1" applyBorder="1" applyAlignment="1">
      <alignment horizontal="right" vertical="top"/>
      <protection/>
    </xf>
    <xf numFmtId="4" fontId="26" fillId="22" borderId="39" xfId="0" applyNumberFormat="1" applyFont="1" applyFill="1" applyBorder="1" applyAlignment="1">
      <alignment horizontal="right" vertical="top"/>
    </xf>
    <xf numFmtId="4" fontId="0" fillId="24" borderId="39" xfId="0" applyNumberFormat="1" applyFont="1" applyFill="1" applyBorder="1" applyAlignment="1">
      <alignment horizontal="right" vertical="top"/>
    </xf>
    <xf numFmtId="4" fontId="0" fillId="0" borderId="39" xfId="0" applyNumberFormat="1" applyFont="1" applyFill="1" applyBorder="1" applyAlignment="1">
      <alignment horizontal="right" vertical="top" wrapText="1"/>
    </xf>
    <xf numFmtId="4" fontId="0" fillId="21" borderId="39" xfId="0" applyNumberFormat="1" applyFont="1" applyFill="1" applyBorder="1" applyAlignment="1">
      <alignment horizontal="right" vertical="top"/>
    </xf>
    <xf numFmtId="3" fontId="22" fillId="48" borderId="18" xfId="0" applyNumberFormat="1" applyFont="1" applyFill="1" applyBorder="1" applyAlignment="1">
      <alignment vertical="top"/>
    </xf>
    <xf numFmtId="3" fontId="22" fillId="48" borderId="23" xfId="0" applyNumberFormat="1" applyFont="1" applyFill="1" applyBorder="1" applyAlignment="1">
      <alignment vertical="top"/>
    </xf>
    <xf numFmtId="10" fontId="22" fillId="0" borderId="40" xfId="0" applyNumberFormat="1" applyFont="1" applyFill="1" applyBorder="1" applyAlignment="1">
      <alignment vertical="top"/>
    </xf>
    <xf numFmtId="0" fontId="33" fillId="49" borderId="18" xfId="0" applyFont="1" applyFill="1" applyBorder="1" applyAlignment="1">
      <alignment horizontal="center" vertical="top"/>
    </xf>
    <xf numFmtId="0" fontId="32" fillId="50" borderId="18" xfId="0" applyFont="1" applyFill="1" applyBorder="1" applyAlignment="1">
      <alignment horizontal="left" vertical="top" wrapText="1"/>
    </xf>
    <xf numFmtId="0" fontId="58" fillId="0" borderId="24" xfId="0" applyFont="1" applyFill="1" applyBorder="1" applyAlignment="1">
      <alignment vertical="top" wrapText="1"/>
    </xf>
    <xf numFmtId="49" fontId="33" fillId="32" borderId="18" xfId="0" applyNumberFormat="1" applyFont="1" applyFill="1" applyBorder="1" applyAlignment="1">
      <alignment horizontal="center" vertical="top"/>
    </xf>
    <xf numFmtId="0" fontId="33" fillId="42" borderId="0" xfId="0" applyFont="1" applyFill="1" applyAlignment="1">
      <alignment vertical="top"/>
    </xf>
    <xf numFmtId="4" fontId="22" fillId="24" borderId="0" xfId="0" applyNumberFormat="1" applyFont="1" applyFill="1" applyBorder="1" applyAlignment="1">
      <alignment horizontal="center" vertical="top"/>
    </xf>
    <xf numFmtId="4" fontId="22" fillId="24" borderId="84" xfId="0" applyNumberFormat="1" applyFont="1" applyFill="1" applyBorder="1" applyAlignment="1">
      <alignment horizontal="center" vertical="top" wrapText="1"/>
    </xf>
    <xf numFmtId="4" fontId="51" fillId="36" borderId="72" xfId="0" applyNumberFormat="1" applyFont="1" applyFill="1" applyBorder="1" applyAlignment="1">
      <alignment horizontal="center" vertical="top" wrapText="1"/>
    </xf>
    <xf numFmtId="4" fontId="22" fillId="38" borderId="71" xfId="0" applyNumberFormat="1" applyFont="1" applyFill="1" applyBorder="1" applyAlignment="1">
      <alignment vertical="top"/>
    </xf>
    <xf numFmtId="4" fontId="22" fillId="6" borderId="71" xfId="0" applyNumberFormat="1" applyFont="1" applyFill="1" applyBorder="1" applyAlignment="1">
      <alignment vertical="top"/>
    </xf>
    <xf numFmtId="4" fontId="22" fillId="20" borderId="71" xfId="0" applyNumberFormat="1" applyFont="1" applyFill="1" applyBorder="1" applyAlignment="1">
      <alignment vertical="top"/>
    </xf>
    <xf numFmtId="4" fontId="22" fillId="42" borderId="71" xfId="0" applyNumberFormat="1" applyFont="1" applyFill="1" applyBorder="1" applyAlignment="1">
      <alignment vertical="top"/>
    </xf>
    <xf numFmtId="4" fontId="50" fillId="7" borderId="71" xfId="0" applyNumberFormat="1" applyFont="1" applyFill="1" applyBorder="1" applyAlignment="1">
      <alignment vertical="top"/>
    </xf>
    <xf numFmtId="4" fontId="50" fillId="24" borderId="71" xfId="0" applyNumberFormat="1" applyFont="1" applyFill="1" applyBorder="1" applyAlignment="1">
      <alignment vertical="top"/>
    </xf>
    <xf numFmtId="4" fontId="50" fillId="26" borderId="71" xfId="0" applyNumberFormat="1" applyFont="1" applyFill="1" applyBorder="1" applyAlignment="1">
      <alignment vertical="top"/>
    </xf>
    <xf numFmtId="4" fontId="22" fillId="42" borderId="85" xfId="0" applyNumberFormat="1" applyFont="1" applyFill="1" applyBorder="1" applyAlignment="1">
      <alignment vertical="top"/>
    </xf>
    <xf numFmtId="4" fontId="50" fillId="0" borderId="72" xfId="0" applyNumberFormat="1" applyFont="1" applyBorder="1" applyAlignment="1">
      <alignment vertical="top"/>
    </xf>
    <xf numFmtId="4" fontId="50" fillId="4" borderId="71" xfId="0" applyNumberFormat="1" applyFont="1" applyFill="1" applyBorder="1" applyAlignment="1">
      <alignment vertical="top"/>
    </xf>
    <xf numFmtId="4" fontId="22" fillId="7" borderId="71" xfId="0" applyNumberFormat="1" applyFont="1" applyFill="1" applyBorder="1" applyAlignment="1">
      <alignment vertical="top"/>
    </xf>
    <xf numFmtId="4" fontId="50" fillId="32" borderId="71" xfId="0" applyNumberFormat="1" applyFont="1" applyFill="1" applyBorder="1" applyAlignment="1">
      <alignment vertical="top"/>
    </xf>
    <xf numFmtId="4" fontId="50" fillId="0" borderId="69" xfId="0" applyNumberFormat="1" applyFont="1" applyBorder="1" applyAlignment="1">
      <alignment vertical="top"/>
    </xf>
    <xf numFmtId="4" fontId="22" fillId="7" borderId="41" xfId="0" applyNumberFormat="1" applyFont="1" applyFill="1" applyBorder="1" applyAlignment="1">
      <alignment vertical="top"/>
    </xf>
    <xf numFmtId="4" fontId="50" fillId="7" borderId="41" xfId="0" applyNumberFormat="1" applyFont="1" applyFill="1" applyBorder="1" applyAlignment="1">
      <alignment vertical="top"/>
    </xf>
    <xf numFmtId="4" fontId="22" fillId="42" borderId="86" xfId="0" applyNumberFormat="1" applyFont="1" applyFill="1" applyBorder="1" applyAlignment="1">
      <alignment vertical="top"/>
    </xf>
    <xf numFmtId="4" fontId="22" fillId="42" borderId="41" xfId="0" applyNumberFormat="1" applyFont="1" applyFill="1" applyBorder="1" applyAlignment="1">
      <alignment vertical="top"/>
    </xf>
    <xf numFmtId="4" fontId="50" fillId="26" borderId="42" xfId="0" applyNumberFormat="1" applyFont="1" applyFill="1" applyBorder="1" applyAlignment="1">
      <alignment vertical="top"/>
    </xf>
    <xf numFmtId="4" fontId="50" fillId="7" borderId="72" xfId="0" applyNumberFormat="1" applyFont="1" applyFill="1" applyBorder="1" applyAlignment="1">
      <alignment vertical="top"/>
    </xf>
    <xf numFmtId="4" fontId="22" fillId="51" borderId="71" xfId="0" applyNumberFormat="1" applyFont="1" applyFill="1" applyBorder="1" applyAlignment="1">
      <alignment vertical="top"/>
    </xf>
    <xf numFmtId="4" fontId="22" fillId="51" borderId="87" xfId="0" applyNumberFormat="1" applyFont="1" applyFill="1" applyBorder="1" applyAlignment="1">
      <alignment vertical="top"/>
    </xf>
    <xf numFmtId="4" fontId="50" fillId="30" borderId="41" xfId="0" applyNumberFormat="1" applyFont="1" applyFill="1" applyBorder="1" applyAlignment="1">
      <alignment vertical="top"/>
    </xf>
    <xf numFmtId="4" fontId="50" fillId="0" borderId="41" xfId="0" applyNumberFormat="1" applyFont="1" applyFill="1" applyBorder="1" applyAlignment="1">
      <alignment vertical="top"/>
    </xf>
    <xf numFmtId="4" fontId="22" fillId="40" borderId="71" xfId="0" applyNumberFormat="1" applyFont="1" applyFill="1" applyBorder="1" applyAlignment="1">
      <alignment vertical="top"/>
    </xf>
    <xf numFmtId="4" fontId="50" fillId="30" borderId="71" xfId="0" applyNumberFormat="1" applyFont="1" applyFill="1" applyBorder="1" applyAlignment="1">
      <alignment vertical="top"/>
    </xf>
    <xf numFmtId="4" fontId="22" fillId="32" borderId="71" xfId="0" applyNumberFormat="1" applyFont="1" applyFill="1" applyBorder="1" applyAlignment="1">
      <alignment vertical="top"/>
    </xf>
    <xf numFmtId="4" fontId="50" fillId="26" borderId="41" xfId="0" applyNumberFormat="1" applyFont="1" applyFill="1" applyBorder="1" applyAlignment="1">
      <alignment vertical="top"/>
    </xf>
    <xf numFmtId="4" fontId="50" fillId="26" borderId="69" xfId="0" applyNumberFormat="1" applyFont="1" applyFill="1" applyBorder="1" applyAlignment="1">
      <alignment vertical="top"/>
    </xf>
    <xf numFmtId="4" fontId="50" fillId="26" borderId="72" xfId="0" applyNumberFormat="1" applyFont="1" applyFill="1" applyBorder="1" applyAlignment="1">
      <alignment vertical="top"/>
    </xf>
    <xf numFmtId="4" fontId="50" fillId="28" borderId="71" xfId="0" applyNumberFormat="1" applyFont="1" applyFill="1" applyBorder="1" applyAlignment="1">
      <alignment vertical="top"/>
    </xf>
    <xf numFmtId="4" fontId="50" fillId="0" borderId="87" xfId="0" applyNumberFormat="1" applyFont="1" applyFill="1" applyBorder="1" applyAlignment="1">
      <alignment vertical="top"/>
    </xf>
    <xf numFmtId="4" fontId="50" fillId="24" borderId="41" xfId="0" applyNumberFormat="1" applyFont="1" applyFill="1" applyBorder="1" applyAlignment="1">
      <alignment vertical="top"/>
    </xf>
    <xf numFmtId="4" fontId="22" fillId="36" borderId="41" xfId="0" applyNumberFormat="1" applyFont="1" applyFill="1" applyBorder="1" applyAlignment="1">
      <alignment vertical="top"/>
    </xf>
    <xf numFmtId="4" fontId="22" fillId="32" borderId="87" xfId="0" applyNumberFormat="1" applyFont="1" applyFill="1" applyBorder="1" applyAlignment="1">
      <alignment vertical="top"/>
    </xf>
    <xf numFmtId="4" fontId="65" fillId="32" borderId="41" xfId="0" applyNumberFormat="1" applyFont="1" applyFill="1" applyBorder="1" applyAlignment="1">
      <alignment vertical="top"/>
    </xf>
    <xf numFmtId="4" fontId="65" fillId="0" borderId="41" xfId="0" applyNumberFormat="1" applyFont="1" applyFill="1" applyBorder="1" applyAlignment="1">
      <alignment vertical="top"/>
    </xf>
    <xf numFmtId="4" fontId="22" fillId="42" borderId="87" xfId="0" applyNumberFormat="1" applyFont="1" applyFill="1" applyBorder="1" applyAlignment="1">
      <alignment vertical="top"/>
    </xf>
    <xf numFmtId="4" fontId="22" fillId="26" borderId="41" xfId="0" applyNumberFormat="1" applyFont="1" applyFill="1" applyBorder="1" applyAlignment="1">
      <alignment vertical="top"/>
    </xf>
    <xf numFmtId="4" fontId="22" fillId="52" borderId="41" xfId="0" applyNumberFormat="1" applyFont="1" applyFill="1" applyBorder="1" applyAlignment="1">
      <alignment vertical="top"/>
    </xf>
    <xf numFmtId="4" fontId="50" fillId="53" borderId="41" xfId="0" applyNumberFormat="1" applyFont="1" applyFill="1" applyBorder="1" applyAlignment="1">
      <alignment vertical="top"/>
    </xf>
    <xf numFmtId="4" fontId="22" fillId="53" borderId="41" xfId="0" applyNumberFormat="1" applyFont="1" applyFill="1" applyBorder="1" applyAlignment="1">
      <alignment vertical="top"/>
    </xf>
    <xf numFmtId="4" fontId="22" fillId="53" borderId="48" xfId="0" applyNumberFormat="1" applyFont="1" applyFill="1" applyBorder="1" applyAlignment="1">
      <alignment vertical="top"/>
    </xf>
    <xf numFmtId="4" fontId="22" fillId="6" borderId="72" xfId="0" applyNumberFormat="1" applyFont="1" applyFill="1" applyBorder="1" applyAlignment="1">
      <alignment vertical="top"/>
    </xf>
    <xf numFmtId="4" fontId="22" fillId="26" borderId="88" xfId="0" applyNumberFormat="1" applyFont="1" applyFill="1" applyBorder="1" applyAlignment="1">
      <alignment vertical="top"/>
    </xf>
    <xf numFmtId="4" fontId="69" fillId="28" borderId="71" xfId="0" applyNumberFormat="1" applyFont="1" applyFill="1" applyBorder="1" applyAlignment="1">
      <alignment vertical="top"/>
    </xf>
    <xf numFmtId="4" fontId="69" fillId="54" borderId="71" xfId="0" applyNumberFormat="1" applyFont="1" applyFill="1" applyBorder="1" applyAlignment="1">
      <alignment vertical="top"/>
    </xf>
    <xf numFmtId="4" fontId="69" fillId="32" borderId="71" xfId="0" applyNumberFormat="1" applyFont="1" applyFill="1" applyBorder="1" applyAlignment="1">
      <alignment vertical="top"/>
    </xf>
    <xf numFmtId="4" fontId="22" fillId="28" borderId="71" xfId="0" applyNumberFormat="1" applyFont="1" applyFill="1" applyBorder="1" applyAlignment="1">
      <alignment vertical="top"/>
    </xf>
    <xf numFmtId="4" fontId="69" fillId="32" borderId="71" xfId="0" applyNumberFormat="1" applyFont="1" applyFill="1" applyBorder="1" applyAlignment="1">
      <alignment vertical="top"/>
    </xf>
    <xf numFmtId="4" fontId="69" fillId="55" borderId="71" xfId="0" applyNumberFormat="1" applyFont="1" applyFill="1" applyBorder="1" applyAlignment="1">
      <alignment vertical="top"/>
    </xf>
    <xf numFmtId="4" fontId="50" fillId="32" borderId="89" xfId="0" applyNumberFormat="1" applyFont="1" applyFill="1" applyBorder="1" applyAlignment="1">
      <alignment vertical="top"/>
    </xf>
    <xf numFmtId="4" fontId="50" fillId="32" borderId="41" xfId="0" applyNumberFormat="1" applyFont="1" applyFill="1" applyBorder="1" applyAlignment="1">
      <alignment vertical="top"/>
    </xf>
    <xf numFmtId="4" fontId="50" fillId="32" borderId="42" xfId="0" applyNumberFormat="1" applyFont="1" applyFill="1" applyBorder="1" applyAlignment="1">
      <alignment vertical="top"/>
    </xf>
    <xf numFmtId="4" fontId="50" fillId="26" borderId="48" xfId="0" applyNumberFormat="1" applyFont="1" applyFill="1" applyBorder="1" applyAlignment="1">
      <alignment vertical="top"/>
    </xf>
    <xf numFmtId="4" fontId="22" fillId="42" borderId="42" xfId="0" applyNumberFormat="1" applyFont="1" applyFill="1" applyBorder="1" applyAlignment="1">
      <alignment vertical="top"/>
    </xf>
    <xf numFmtId="4" fontId="22" fillId="26" borderId="84" xfId="0" applyNumberFormat="1" applyFont="1" applyFill="1" applyBorder="1" applyAlignment="1">
      <alignment vertical="top"/>
    </xf>
    <xf numFmtId="4" fontId="50" fillId="22" borderId="71" xfId="0" applyNumberFormat="1" applyFont="1" applyFill="1" applyBorder="1" applyAlignment="1">
      <alignment vertical="top"/>
    </xf>
    <xf numFmtId="4" fontId="22" fillId="49" borderId="71" xfId="0" applyNumberFormat="1" applyFont="1" applyFill="1" applyBorder="1" applyAlignment="1">
      <alignment vertical="top"/>
    </xf>
    <xf numFmtId="4" fontId="50" fillId="26" borderId="87" xfId="0" applyNumberFormat="1" applyFont="1" applyFill="1" applyBorder="1" applyAlignment="1">
      <alignment vertical="top"/>
    </xf>
    <xf numFmtId="4" fontId="50" fillId="0" borderId="72" xfId="0" applyNumberFormat="1" applyFont="1" applyFill="1" applyBorder="1" applyAlignment="1">
      <alignment vertical="top"/>
    </xf>
    <xf numFmtId="4" fontId="69" fillId="22" borderId="71" xfId="0" applyNumberFormat="1" applyFont="1" applyFill="1" applyBorder="1" applyAlignment="1">
      <alignment vertical="top"/>
    </xf>
    <xf numFmtId="4" fontId="22" fillId="20" borderId="18" xfId="0" applyNumberFormat="1" applyFont="1" applyFill="1" applyBorder="1" applyAlignment="1">
      <alignment vertical="top"/>
    </xf>
    <xf numFmtId="4" fontId="22" fillId="21" borderId="88" xfId="0" applyNumberFormat="1" applyFont="1" applyFill="1" applyBorder="1" applyAlignment="1">
      <alignment vertical="top"/>
    </xf>
    <xf numFmtId="4" fontId="50" fillId="24" borderId="0" xfId="0" applyNumberFormat="1" applyFont="1" applyFill="1" applyBorder="1" applyAlignment="1">
      <alignment vertical="top"/>
    </xf>
    <xf numFmtId="4" fontId="50" fillId="24" borderId="0" xfId="0" applyNumberFormat="1" applyFont="1" applyFill="1" applyAlignment="1">
      <alignment/>
    </xf>
    <xf numFmtId="4" fontId="60" fillId="24" borderId="0" xfId="0" applyNumberFormat="1" applyFont="1" applyFill="1" applyBorder="1" applyAlignment="1">
      <alignment vertical="top"/>
    </xf>
    <xf numFmtId="4" fontId="22" fillId="24" borderId="45" xfId="0" applyNumberFormat="1" applyFont="1" applyFill="1" applyBorder="1" applyAlignment="1">
      <alignment horizontal="center" vertical="top" wrapText="1"/>
    </xf>
    <xf numFmtId="4" fontId="22" fillId="32" borderId="24" xfId="0" applyNumberFormat="1" applyFont="1" applyFill="1" applyBorder="1" applyAlignment="1">
      <alignment vertical="top"/>
    </xf>
    <xf numFmtId="4" fontId="22" fillId="0" borderId="24" xfId="0" applyNumberFormat="1" applyFont="1" applyBorder="1" applyAlignment="1">
      <alignment vertical="top"/>
    </xf>
    <xf numFmtId="4" fontId="22" fillId="26" borderId="15" xfId="0" applyNumberFormat="1" applyFont="1" applyFill="1" applyBorder="1" applyAlignment="1">
      <alignment vertical="top"/>
    </xf>
    <xf numFmtId="4" fontId="22" fillId="24" borderId="18" xfId="0" applyNumberFormat="1" applyFont="1" applyFill="1" applyBorder="1" applyAlignment="1">
      <alignment vertical="top"/>
    </xf>
    <xf numFmtId="4" fontId="22" fillId="20" borderId="18" xfId="0" applyNumberFormat="1" applyFont="1" applyFill="1" applyBorder="1" applyAlignment="1">
      <alignment vertical="top"/>
    </xf>
    <xf numFmtId="4" fontId="33" fillId="26" borderId="24" xfId="0" applyNumberFormat="1" applyFont="1" applyFill="1" applyBorder="1" applyAlignment="1">
      <alignment/>
    </xf>
    <xf numFmtId="4" fontId="22" fillId="26" borderId="24" xfId="0" applyNumberFormat="1" applyFont="1" applyFill="1" applyBorder="1" applyAlignment="1">
      <alignment/>
    </xf>
    <xf numFmtId="4" fontId="22" fillId="26" borderId="24" xfId="0" applyNumberFormat="1" applyFont="1" applyFill="1" applyBorder="1" applyAlignment="1">
      <alignment/>
    </xf>
    <xf numFmtId="4" fontId="50" fillId="24" borderId="24" xfId="0" applyNumberFormat="1" applyFont="1" applyFill="1" applyBorder="1" applyAlignment="1">
      <alignment/>
    </xf>
    <xf numFmtId="4" fontId="50" fillId="24" borderId="0" xfId="0" applyNumberFormat="1" applyFont="1" applyFill="1" applyBorder="1" applyAlignment="1">
      <alignment/>
    </xf>
    <xf numFmtId="4" fontId="22" fillId="24" borderId="18" xfId="0" applyNumberFormat="1" applyFont="1" applyFill="1" applyBorder="1" applyAlignment="1">
      <alignment/>
    </xf>
    <xf numFmtId="0" fontId="33" fillId="43" borderId="18" xfId="0" applyFont="1" applyFill="1" applyBorder="1" applyAlignment="1">
      <alignment horizontal="center" vertical="top"/>
    </xf>
    <xf numFmtId="0" fontId="33" fillId="56" borderId="18" xfId="0" applyFont="1" applyFill="1" applyBorder="1" applyAlignment="1">
      <alignment horizontal="center" vertical="top"/>
    </xf>
    <xf numFmtId="4" fontId="22" fillId="43" borderId="71" xfId="0" applyNumberFormat="1" applyFont="1" applyFill="1" applyBorder="1" applyAlignment="1">
      <alignment vertical="top"/>
    </xf>
    <xf numFmtId="0" fontId="33" fillId="43" borderId="0" xfId="0" applyFont="1" applyFill="1" applyAlignment="1">
      <alignment vertical="top"/>
    </xf>
    <xf numFmtId="10" fontId="33" fillId="0" borderId="0" xfId="0" applyNumberFormat="1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39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25" borderId="23" xfId="0" applyFont="1" applyFill="1" applyBorder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 vertical="top"/>
    </xf>
    <xf numFmtId="3" fontId="20" fillId="0" borderId="0" xfId="0" applyNumberFormat="1" applyFont="1" applyBorder="1" applyAlignment="1">
      <alignment vertical="top"/>
    </xf>
    <xf numFmtId="0" fontId="0" fillId="20" borderId="21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vertical="center"/>
    </xf>
    <xf numFmtId="0" fontId="20" fillId="0" borderId="0" xfId="0" applyFont="1" applyAlignment="1">
      <alignment/>
    </xf>
    <xf numFmtId="0" fontId="70" fillId="0" borderId="0" xfId="0" applyFont="1" applyAlignment="1">
      <alignment horizontal="center"/>
    </xf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40" borderId="26" xfId="0" applyFont="1" applyFill="1" applyBorder="1" applyAlignment="1">
      <alignment horizontal="center" vertical="top" wrapText="1"/>
    </xf>
    <xf numFmtId="0" fontId="19" fillId="32" borderId="24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24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2" borderId="24" xfId="0" applyFont="1" applyFill="1" applyBorder="1" applyAlignment="1">
      <alignment horizontal="right" vertical="top" wrapText="1"/>
    </xf>
    <xf numFmtId="0" fontId="0" fillId="26" borderId="24" xfId="0" applyFont="1" applyFill="1" applyBorder="1" applyAlignment="1">
      <alignment horizontal="left" vertical="justify" wrapText="1"/>
    </xf>
    <xf numFmtId="49" fontId="0" fillId="0" borderId="24" xfId="0" applyNumberFormat="1" applyFont="1" applyFill="1" applyBorder="1" applyAlignment="1">
      <alignment horizontal="center" vertical="top"/>
    </xf>
    <xf numFmtId="0" fontId="0" fillId="26" borderId="24" xfId="0" applyFont="1" applyFill="1" applyBorder="1" applyAlignment="1">
      <alignment horizontal="justify" vertical="justify" wrapText="1"/>
    </xf>
    <xf numFmtId="0" fontId="33" fillId="26" borderId="39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left" vertical="justify" wrapText="1"/>
    </xf>
    <xf numFmtId="0" fontId="0" fillId="26" borderId="24" xfId="0" applyFont="1" applyFill="1" applyBorder="1" applyAlignment="1" applyProtection="1">
      <alignment horizontal="justify" vertical="justify" wrapText="1"/>
      <protection hidden="1"/>
    </xf>
    <xf numFmtId="0" fontId="0" fillId="0" borderId="24" xfId="0" applyFont="1" applyFill="1" applyBorder="1" applyAlignment="1" applyProtection="1">
      <alignment horizontal="justify" vertical="top" wrapText="1"/>
      <protection hidden="1"/>
    </xf>
    <xf numFmtId="0" fontId="0" fillId="0" borderId="0" xfId="0" applyFont="1" applyAlignment="1">
      <alignment vertical="top"/>
    </xf>
    <xf numFmtId="0" fontId="19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26" borderId="24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6" fillId="0" borderId="21" xfId="0" applyFont="1" applyBorder="1" applyAlignment="1" applyProtection="1">
      <alignment/>
      <protection hidden="1"/>
    </xf>
    <xf numFmtId="0" fontId="26" fillId="26" borderId="24" xfId="0" applyFont="1" applyFill="1" applyBorder="1" applyAlignment="1" applyProtection="1">
      <alignment/>
      <protection hidden="1"/>
    </xf>
    <xf numFmtId="0" fontId="26" fillId="0" borderId="24" xfId="0" applyFont="1" applyBorder="1" applyAlignment="1" applyProtection="1">
      <alignment/>
      <protection hidden="1"/>
    </xf>
    <xf numFmtId="0" fontId="19" fillId="40" borderId="24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23" fillId="20" borderId="9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3" fillId="20" borderId="9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91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1" xfId="0" applyFont="1" applyBorder="1" applyAlignment="1">
      <alignment horizontal="center" vertical="top"/>
    </xf>
    <xf numFmtId="0" fontId="0" fillId="0" borderId="49" xfId="0" applyFont="1" applyBorder="1" applyAlignment="1">
      <alignment vertical="top"/>
    </xf>
    <xf numFmtId="0" fontId="0" fillId="0" borderId="49" xfId="0" applyFont="1" applyBorder="1" applyAlignment="1">
      <alignment horizontal="center" vertical="top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top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horizontal="center" vertical="top"/>
    </xf>
    <xf numFmtId="0" fontId="0" fillId="0" borderId="98" xfId="0" applyFont="1" applyBorder="1" applyAlignment="1">
      <alignment horizontal="center" vertical="top"/>
    </xf>
    <xf numFmtId="0" fontId="0" fillId="0" borderId="99" xfId="0" applyFont="1" applyFill="1" applyBorder="1" applyAlignment="1">
      <alignment horizontal="center" vertical="top"/>
    </xf>
    <xf numFmtId="49" fontId="33" fillId="0" borderId="100" xfId="0" applyNumberFormat="1" applyFont="1" applyFill="1" applyBorder="1" applyAlignment="1">
      <alignment horizontal="center" vertical="top"/>
    </xf>
    <xf numFmtId="0" fontId="33" fillId="0" borderId="100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100" xfId="0" applyFont="1" applyFill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41" borderId="101" xfId="0" applyFont="1" applyFill="1" applyBorder="1" applyAlignment="1">
      <alignment vertical="top" wrapText="1"/>
    </xf>
    <xf numFmtId="0" fontId="0" fillId="0" borderId="102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9" fillId="40" borderId="40" xfId="0" applyFont="1" applyFill="1" applyBorder="1" applyAlignment="1">
      <alignment horizontal="center" wrapText="1"/>
    </xf>
    <xf numFmtId="0" fontId="19" fillId="40" borderId="24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36" fillId="41" borderId="39" xfId="0" applyFont="1" applyFill="1" applyBorder="1" applyAlignment="1">
      <alignment horizontal="justify" vertical="top" wrapText="1"/>
    </xf>
    <xf numFmtId="0" fontId="36" fillId="0" borderId="39" xfId="0" applyFont="1" applyFill="1" applyBorder="1" applyAlignment="1">
      <alignment horizontal="justify" vertical="top" wrapText="1"/>
    </xf>
    <xf numFmtId="0" fontId="33" fillId="0" borderId="24" xfId="0" applyFont="1" applyBorder="1" applyAlignment="1" applyProtection="1">
      <alignment horizontal="center" vertical="top"/>
      <protection hidden="1"/>
    </xf>
    <xf numFmtId="0" fontId="33" fillId="0" borderId="24" xfId="0" applyFont="1" applyFill="1" applyBorder="1" applyAlignment="1" applyProtection="1">
      <alignment horizontal="center" vertical="top"/>
      <protection hidden="1"/>
    </xf>
    <xf numFmtId="0" fontId="36" fillId="0" borderId="39" xfId="0" applyFont="1" applyFill="1" applyBorder="1" applyAlignment="1" applyProtection="1">
      <alignment horizontal="justify" vertical="top" wrapText="1"/>
      <protection hidden="1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center" vertical="top"/>
    </xf>
    <xf numFmtId="4" fontId="19" fillId="20" borderId="18" xfId="0" applyNumberFormat="1" applyFont="1" applyFill="1" applyBorder="1" applyAlignment="1">
      <alignment vertical="center"/>
    </xf>
    <xf numFmtId="4" fontId="19" fillId="20" borderId="21" xfId="0" applyNumberFormat="1" applyFont="1" applyFill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19" fillId="20" borderId="49" xfId="0" applyNumberFormat="1" applyFont="1" applyFill="1" applyBorder="1" applyAlignment="1">
      <alignment vertical="center"/>
    </xf>
    <xf numFmtId="4" fontId="0" fillId="32" borderId="24" xfId="0" applyNumberFormat="1" applyFont="1" applyFill="1" applyBorder="1" applyAlignment="1">
      <alignment vertical="center"/>
    </xf>
    <xf numFmtId="4" fontId="19" fillId="20" borderId="15" xfId="0" applyNumberFormat="1" applyFont="1" applyFill="1" applyBorder="1" applyAlignment="1">
      <alignment vertical="center"/>
    </xf>
    <xf numFmtId="0" fontId="34" fillId="32" borderId="103" xfId="0" applyFont="1" applyFill="1" applyBorder="1" applyAlignment="1">
      <alignment horizontal="justify" vertical="top" wrapText="1"/>
    </xf>
    <xf numFmtId="0" fontId="34" fillId="32" borderId="104" xfId="0" applyFont="1" applyFill="1" applyBorder="1" applyAlignment="1">
      <alignment horizontal="justify" vertical="top" wrapText="1"/>
    </xf>
    <xf numFmtId="3" fontId="34" fillId="32" borderId="105" xfId="0" applyNumberFormat="1" applyFont="1" applyFill="1" applyBorder="1" applyAlignment="1">
      <alignment horizontal="right" wrapText="1"/>
    </xf>
    <xf numFmtId="3" fontId="43" fillId="0" borderId="24" xfId="0" applyNumberFormat="1" applyFont="1" applyBorder="1" applyAlignment="1">
      <alignment/>
    </xf>
    <xf numFmtId="3" fontId="34" fillId="32" borderId="24" xfId="0" applyNumberFormat="1" applyFont="1" applyFill="1" applyBorder="1" applyAlignment="1">
      <alignment/>
    </xf>
    <xf numFmtId="3" fontId="43" fillId="0" borderId="106" xfId="0" applyNumberFormat="1" applyFont="1" applyBorder="1" applyAlignment="1">
      <alignment horizontal="right" wrapText="1"/>
    </xf>
    <xf numFmtId="4" fontId="22" fillId="40" borderId="51" xfId="0" applyNumberFormat="1" applyFont="1" applyFill="1" applyBorder="1" applyAlignment="1">
      <alignment/>
    </xf>
    <xf numFmtId="4" fontId="41" fillId="0" borderId="24" xfId="0" applyNumberFormat="1" applyFont="1" applyBorder="1" applyAlignment="1">
      <alignment/>
    </xf>
    <xf numFmtId="4" fontId="41" fillId="0" borderId="24" xfId="0" applyNumberFormat="1" applyFont="1" applyBorder="1" applyAlignment="1">
      <alignment/>
    </xf>
    <xf numFmtId="4" fontId="22" fillId="0" borderId="107" xfId="0" applyNumberFormat="1" applyFont="1" applyBorder="1" applyAlignment="1">
      <alignment/>
    </xf>
    <xf numFmtId="4" fontId="22" fillId="0" borderId="100" xfId="0" applyNumberFormat="1" applyFont="1" applyBorder="1" applyAlignment="1">
      <alignment/>
    </xf>
    <xf numFmtId="4" fontId="22" fillId="57" borderId="24" xfId="0" applyNumberFormat="1" applyFont="1" applyFill="1" applyBorder="1" applyAlignment="1">
      <alignment/>
    </xf>
    <xf numFmtId="4" fontId="22" fillId="46" borderId="24" xfId="0" applyNumberFormat="1" applyFont="1" applyFill="1" applyBorder="1" applyAlignment="1">
      <alignment/>
    </xf>
    <xf numFmtId="4" fontId="22" fillId="40" borderId="24" xfId="0" applyNumberFormat="1" applyFont="1" applyFill="1" applyBorder="1" applyAlignment="1">
      <alignment/>
    </xf>
    <xf numFmtId="0" fontId="34" fillId="41" borderId="32" xfId="0" applyFont="1" applyFill="1" applyBorder="1" applyAlignment="1">
      <alignment horizontal="justify" vertical="center" wrapText="1"/>
    </xf>
    <xf numFmtId="0" fontId="34" fillId="41" borderId="24" xfId="0" applyFont="1" applyFill="1" applyBorder="1" applyAlignment="1">
      <alignment horizontal="justify" vertical="center" wrapText="1"/>
    </xf>
    <xf numFmtId="0" fontId="34" fillId="41" borderId="33" xfId="0" applyFont="1" applyFill="1" applyBorder="1" applyAlignment="1">
      <alignment horizontal="right" vertical="center" wrapText="1"/>
    </xf>
    <xf numFmtId="0" fontId="43" fillId="41" borderId="106" xfId="0" applyFont="1" applyFill="1" applyBorder="1" applyAlignment="1">
      <alignment horizontal="right" vertical="top" wrapText="1"/>
    </xf>
    <xf numFmtId="0" fontId="34" fillId="0" borderId="0" xfId="0" applyFont="1" applyFill="1" applyBorder="1" applyAlignment="1">
      <alignment horizontal="justify" vertical="top" wrapText="1"/>
    </xf>
    <xf numFmtId="3" fontId="34" fillId="0" borderId="0" xfId="0" applyNumberFormat="1" applyFont="1" applyFill="1" applyBorder="1" applyAlignment="1">
      <alignment horizontal="right" wrapText="1"/>
    </xf>
    <xf numFmtId="3" fontId="34" fillId="0" borderId="0" xfId="0" applyNumberFormat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/>
    </xf>
    <xf numFmtId="3" fontId="34" fillId="32" borderId="105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/>
    </xf>
    <xf numFmtId="3" fontId="22" fillId="29" borderId="24" xfId="0" applyNumberFormat="1" applyFont="1" applyFill="1" applyBorder="1" applyAlignment="1">
      <alignment/>
    </xf>
    <xf numFmtId="4" fontId="41" fillId="29" borderId="24" xfId="0" applyNumberFormat="1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3" fontId="0" fillId="0" borderId="0" xfId="0" applyNumberFormat="1" applyFont="1" applyFill="1" applyAlignment="1">
      <alignment vertical="top"/>
    </xf>
    <xf numFmtId="3" fontId="19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93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3" fontId="20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vertical="top"/>
    </xf>
    <xf numFmtId="3" fontId="43" fillId="0" borderId="33" xfId="0" applyNumberFormat="1" applyFont="1" applyFill="1" applyBorder="1" applyAlignment="1">
      <alignment horizontal="right" vertical="top" wrapText="1"/>
    </xf>
    <xf numFmtId="3" fontId="43" fillId="0" borderId="33" xfId="0" applyNumberFormat="1" applyFont="1" applyBorder="1" applyAlignment="1">
      <alignment/>
    </xf>
    <xf numFmtId="0" fontId="24" fillId="0" borderId="24" xfId="0" applyFont="1" applyBorder="1" applyAlignment="1">
      <alignment horizontal="center" vertical="top" wrapText="1"/>
    </xf>
    <xf numFmtId="0" fontId="24" fillId="0" borderId="100" xfId="0" applyFont="1" applyBorder="1" applyAlignment="1">
      <alignment horizontal="center" vertical="top" wrapText="1"/>
    </xf>
    <xf numFmtId="0" fontId="24" fillId="0" borderId="108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4" fontId="0" fillId="0" borderId="24" xfId="0" applyNumberFormat="1" applyFont="1" applyBorder="1" applyAlignment="1">
      <alignment horizontal="right" vertical="top" wrapText="1"/>
    </xf>
    <xf numFmtId="4" fontId="0" fillId="0" borderId="24" xfId="0" applyNumberFormat="1" applyFont="1" applyFill="1" applyBorder="1" applyAlignment="1">
      <alignment horizontal="right" vertical="top" wrapText="1"/>
    </xf>
    <xf numFmtId="4" fontId="0" fillId="32" borderId="24" xfId="0" applyNumberFormat="1" applyFont="1" applyFill="1" applyBorder="1" applyAlignment="1">
      <alignment horizontal="right" vertical="top" wrapText="1"/>
    </xf>
    <xf numFmtId="4" fontId="0" fillId="26" borderId="24" xfId="0" applyNumberFormat="1" applyFont="1" applyFill="1" applyBorder="1" applyAlignment="1">
      <alignment horizontal="right" vertical="top" wrapText="1"/>
    </xf>
    <xf numFmtId="4" fontId="19" fillId="40" borderId="24" xfId="0" applyNumberFormat="1" applyFont="1" applyFill="1" applyBorder="1" applyAlignment="1">
      <alignment horizontal="right" vertical="center" wrapText="1"/>
    </xf>
    <xf numFmtId="4" fontId="26" fillId="26" borderId="24" xfId="0" applyNumberFormat="1" applyFont="1" applyFill="1" applyBorder="1" applyAlignment="1" applyProtection="1">
      <alignment/>
      <protection hidden="1"/>
    </xf>
    <xf numFmtId="4" fontId="26" fillId="0" borderId="24" xfId="0" applyNumberFormat="1" applyFont="1" applyBorder="1" applyAlignment="1" applyProtection="1">
      <alignment/>
      <protection hidden="1"/>
    </xf>
    <xf numFmtId="4" fontId="19" fillId="40" borderId="24" xfId="0" applyNumberFormat="1" applyFont="1" applyFill="1" applyBorder="1" applyAlignment="1">
      <alignment/>
    </xf>
    <xf numFmtId="4" fontId="19" fillId="41" borderId="41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19" fillId="20" borderId="41" xfId="0" applyNumberFormat="1" applyFont="1" applyFill="1" applyBorder="1" applyAlignment="1">
      <alignment vertical="center"/>
    </xf>
    <xf numFmtId="4" fontId="19" fillId="40" borderId="68" xfId="0" applyNumberFormat="1" applyFont="1" applyFill="1" applyBorder="1" applyAlignment="1">
      <alignment vertical="center"/>
    </xf>
    <xf numFmtId="4" fontId="19" fillId="40" borderId="24" xfId="0" applyNumberFormat="1" applyFont="1" applyFill="1" applyBorder="1" applyAlignment="1">
      <alignment vertical="center"/>
    </xf>
    <xf numFmtId="4" fontId="19" fillId="40" borderId="35" xfId="0" applyNumberFormat="1" applyFont="1" applyFill="1" applyBorder="1" applyAlignment="1">
      <alignment vertical="top"/>
    </xf>
    <xf numFmtId="4" fontId="19" fillId="41" borderId="87" xfId="0" applyNumberFormat="1" applyFont="1" applyFill="1" applyBorder="1" applyAlignment="1">
      <alignment vertical="top" wrapText="1"/>
    </xf>
    <xf numFmtId="4" fontId="0" fillId="0" borderId="91" xfId="0" applyNumberFormat="1" applyFont="1" applyBorder="1" applyAlignment="1">
      <alignment vertical="top" wrapText="1"/>
    </xf>
    <xf numFmtId="4" fontId="0" fillId="0" borderId="45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09" xfId="0" applyNumberFormat="1" applyFont="1" applyBorder="1" applyAlignment="1">
      <alignment vertical="top" wrapText="1"/>
    </xf>
    <xf numFmtId="4" fontId="19" fillId="41" borderId="69" xfId="0" applyNumberFormat="1" applyFont="1" applyFill="1" applyBorder="1" applyAlignment="1">
      <alignment vertical="top" wrapText="1"/>
    </xf>
    <xf numFmtId="4" fontId="0" fillId="0" borderId="110" xfId="0" applyNumberFormat="1" applyFont="1" applyFill="1" applyBorder="1" applyAlignment="1">
      <alignment vertical="top" wrapText="1"/>
    </xf>
    <xf numFmtId="4" fontId="0" fillId="0" borderId="51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vertical="top"/>
    </xf>
    <xf numFmtId="4" fontId="0" fillId="0" borderId="111" xfId="0" applyNumberFormat="1" applyFont="1" applyBorder="1" applyAlignment="1">
      <alignment vertical="top" wrapText="1"/>
    </xf>
    <xf numFmtId="4" fontId="0" fillId="0" borderId="23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horizontal="right" vertical="top" wrapText="1"/>
    </xf>
    <xf numFmtId="4" fontId="0" fillId="0" borderId="51" xfId="0" applyNumberFormat="1" applyFont="1" applyFill="1" applyBorder="1" applyAlignment="1">
      <alignment vertical="top" wrapText="1"/>
    </xf>
    <xf numFmtId="4" fontId="0" fillId="0" borderId="51" xfId="0" applyNumberFormat="1" applyFont="1" applyBorder="1" applyAlignment="1">
      <alignment vertical="top"/>
    </xf>
    <xf numFmtId="4" fontId="0" fillId="0" borderId="49" xfId="0" applyNumberFormat="1" applyFont="1" applyBorder="1" applyAlignment="1">
      <alignment horizontal="right" vertical="center" wrapText="1"/>
    </xf>
    <xf numFmtId="4" fontId="0" fillId="0" borderId="112" xfId="0" applyNumberFormat="1" applyFont="1" applyFill="1" applyBorder="1" applyAlignment="1">
      <alignment vertical="top" wrapText="1"/>
    </xf>
    <xf numFmtId="4" fontId="0" fillId="0" borderId="21" xfId="0" applyNumberFormat="1" applyFont="1" applyFill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113" xfId="0" applyNumberFormat="1" applyFont="1" applyBorder="1" applyAlignment="1">
      <alignment horizontal="right" vertical="center" wrapText="1"/>
    </xf>
    <xf numFmtId="4" fontId="0" fillId="0" borderId="90" xfId="0" applyNumberFormat="1" applyFont="1" applyBorder="1" applyAlignment="1">
      <alignment vertical="top" wrapText="1"/>
    </xf>
    <xf numFmtId="4" fontId="0" fillId="0" borderId="114" xfId="0" applyNumberFormat="1" applyFont="1" applyFill="1" applyBorder="1" applyAlignment="1">
      <alignment vertical="top" wrapText="1"/>
    </xf>
    <xf numFmtId="4" fontId="0" fillId="0" borderId="49" xfId="0" applyNumberFormat="1" applyFont="1" applyFill="1" applyBorder="1" applyAlignment="1">
      <alignment vertical="top" wrapText="1"/>
    </xf>
    <xf numFmtId="4" fontId="0" fillId="0" borderId="17" xfId="0" applyNumberFormat="1" applyFont="1" applyBorder="1" applyAlignment="1">
      <alignment vertical="top"/>
    </xf>
    <xf numFmtId="4" fontId="0" fillId="0" borderId="115" xfId="0" applyNumberFormat="1" applyFont="1" applyBorder="1" applyAlignment="1">
      <alignment vertical="top" wrapText="1"/>
    </xf>
    <xf numFmtId="4" fontId="19" fillId="0" borderId="87" xfId="0" applyNumberFormat="1" applyFont="1" applyBorder="1" applyAlignment="1">
      <alignment vertical="top" wrapText="1"/>
    </xf>
    <xf numFmtId="4" fontId="19" fillId="0" borderId="69" xfId="0" applyNumberFormat="1" applyFont="1" applyBorder="1" applyAlignment="1">
      <alignment vertical="top" wrapText="1"/>
    </xf>
    <xf numFmtId="4" fontId="19" fillId="0" borderId="48" xfId="0" applyNumberFormat="1" applyFont="1" applyBorder="1" applyAlignment="1">
      <alignment vertical="top" wrapText="1"/>
    </xf>
    <xf numFmtId="4" fontId="0" fillId="0" borderId="97" xfId="0" applyNumberFormat="1" applyFont="1" applyFill="1" applyBorder="1" applyAlignment="1">
      <alignment vertical="top" wrapText="1"/>
    </xf>
    <xf numFmtId="4" fontId="0" fillId="0" borderId="98" xfId="0" applyNumberFormat="1" applyFont="1" applyBorder="1" applyAlignment="1">
      <alignment vertical="top"/>
    </xf>
    <xf numFmtId="4" fontId="0" fillId="0" borderId="116" xfId="0" applyNumberFormat="1" applyFont="1" applyBorder="1" applyAlignment="1">
      <alignment vertical="top" wrapText="1"/>
    </xf>
    <xf numFmtId="4" fontId="19" fillId="41" borderId="86" xfId="0" applyNumberFormat="1" applyFont="1" applyFill="1" applyBorder="1" applyAlignment="1">
      <alignment vertical="top" wrapText="1"/>
    </xf>
    <xf numFmtId="4" fontId="0" fillId="0" borderId="117" xfId="0" applyNumberFormat="1" applyFont="1" applyFill="1" applyBorder="1" applyAlignment="1">
      <alignment vertical="top" wrapText="1"/>
    </xf>
    <xf numFmtId="4" fontId="0" fillId="0" borderId="94" xfId="0" applyNumberFormat="1" applyFont="1" applyFill="1" applyBorder="1" applyAlignment="1">
      <alignment vertical="top"/>
    </xf>
    <xf numFmtId="4" fontId="0" fillId="0" borderId="118" xfId="0" applyNumberFormat="1" applyFont="1" applyBorder="1" applyAlignment="1">
      <alignment vertical="top" wrapText="1"/>
    </xf>
    <xf numFmtId="4" fontId="0" fillId="0" borderId="118" xfId="0" applyNumberFormat="1" applyFont="1" applyBorder="1" applyAlignment="1">
      <alignment horizontal="right" vertical="center" wrapText="1"/>
    </xf>
    <xf numFmtId="4" fontId="0" fillId="0" borderId="119" xfId="0" applyNumberFormat="1" applyFont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4" fontId="0" fillId="0" borderId="120" xfId="0" applyNumberFormat="1" applyFont="1" applyBorder="1" applyAlignment="1">
      <alignment horizontal="right" vertical="center" wrapText="1"/>
    </xf>
    <xf numFmtId="4" fontId="0" fillId="0" borderId="115" xfId="0" applyNumberFormat="1" applyFont="1" applyBorder="1" applyAlignment="1">
      <alignment vertical="top"/>
    </xf>
    <xf numFmtId="4" fontId="19" fillId="41" borderId="48" xfId="0" applyNumberFormat="1" applyFont="1" applyFill="1" applyBorder="1" applyAlignment="1">
      <alignment vertical="top" wrapText="1"/>
    </xf>
    <xf numFmtId="4" fontId="0" fillId="0" borderId="121" xfId="0" applyNumberFormat="1" applyFont="1" applyFill="1" applyBorder="1" applyAlignment="1">
      <alignment vertical="top" wrapText="1"/>
    </xf>
    <xf numFmtId="4" fontId="0" fillId="0" borderId="97" xfId="0" applyNumberFormat="1" applyFont="1" applyFill="1" applyBorder="1" applyAlignment="1">
      <alignment vertical="top"/>
    </xf>
    <xf numFmtId="4" fontId="0" fillId="0" borderId="56" xfId="0" applyNumberFormat="1" applyFont="1" applyBorder="1" applyAlignment="1">
      <alignment vertical="top"/>
    </xf>
    <xf numFmtId="4" fontId="0" fillId="0" borderId="122" xfId="0" applyNumberFormat="1" applyFont="1" applyBorder="1" applyAlignment="1">
      <alignment horizontal="right" vertical="center" wrapText="1"/>
    </xf>
    <xf numFmtId="4" fontId="0" fillId="0" borderId="123" xfId="0" applyNumberFormat="1" applyFont="1" applyBorder="1" applyAlignment="1">
      <alignment vertical="top"/>
    </xf>
    <xf numFmtId="4" fontId="0" fillId="0" borderId="124" xfId="0" applyNumberFormat="1" applyFont="1" applyBorder="1" applyAlignment="1">
      <alignment vertical="top"/>
    </xf>
    <xf numFmtId="4" fontId="0" fillId="0" borderId="56" xfId="0" applyNumberFormat="1" applyFont="1" applyBorder="1" applyAlignment="1">
      <alignment horizontal="right" vertical="center" wrapText="1"/>
    </xf>
    <xf numFmtId="4" fontId="19" fillId="0" borderId="86" xfId="0" applyNumberFormat="1" applyFont="1" applyBorder="1" applyAlignment="1">
      <alignment vertical="top" wrapText="1"/>
    </xf>
    <xf numFmtId="4" fontId="0" fillId="0" borderId="125" xfId="0" applyNumberFormat="1" applyFont="1" applyBorder="1" applyAlignment="1">
      <alignment horizontal="right" vertical="center" wrapText="1"/>
    </xf>
    <xf numFmtId="4" fontId="0" fillId="0" borderId="126" xfId="0" applyNumberFormat="1" applyFont="1" applyBorder="1" applyAlignment="1">
      <alignment horizontal="right" vertical="center" wrapText="1"/>
    </xf>
    <xf numFmtId="4" fontId="0" fillId="0" borderId="116" xfId="0" applyNumberFormat="1" applyFont="1" applyBorder="1" applyAlignment="1">
      <alignment vertical="top"/>
    </xf>
    <xf numFmtId="4" fontId="19" fillId="0" borderId="86" xfId="0" applyNumberFormat="1" applyFont="1" applyFill="1" applyBorder="1" applyAlignment="1">
      <alignment vertical="top" wrapText="1"/>
    </xf>
    <xf numFmtId="4" fontId="19" fillId="0" borderId="69" xfId="0" applyNumberFormat="1" applyFont="1" applyFill="1" applyBorder="1" applyAlignment="1">
      <alignment vertical="top" wrapText="1"/>
    </xf>
    <xf numFmtId="4" fontId="19" fillId="0" borderId="48" xfId="0" applyNumberFormat="1" applyFont="1" applyFill="1" applyBorder="1" applyAlignment="1">
      <alignment vertical="top" wrapText="1"/>
    </xf>
    <xf numFmtId="4" fontId="0" fillId="0" borderId="15" xfId="0" applyNumberFormat="1" applyFont="1" applyFill="1" applyBorder="1" applyAlignment="1">
      <alignment vertical="top" wrapText="1"/>
    </xf>
    <xf numFmtId="4" fontId="0" fillId="0" borderId="120" xfId="0" applyNumberFormat="1" applyFont="1" applyFill="1" applyBorder="1" applyAlignment="1">
      <alignment horizontal="right" vertical="center" wrapText="1"/>
    </xf>
    <xf numFmtId="4" fontId="0" fillId="0" borderId="115" xfId="0" applyNumberFormat="1" applyFont="1" applyFill="1" applyBorder="1" applyAlignment="1">
      <alignment vertical="top"/>
    </xf>
    <xf numFmtId="4" fontId="0" fillId="0" borderId="18" xfId="0" applyNumberFormat="1" applyFont="1" applyFill="1" applyBorder="1" applyAlignment="1">
      <alignment vertical="top"/>
    </xf>
    <xf numFmtId="4" fontId="0" fillId="0" borderId="113" xfId="0" applyNumberFormat="1" applyFont="1" applyFill="1" applyBorder="1" applyAlignment="1">
      <alignment horizontal="right" vertical="center" wrapText="1"/>
    </xf>
    <xf numFmtId="4" fontId="0" fillId="0" borderId="126" xfId="0" applyNumberFormat="1" applyFont="1" applyFill="1" applyBorder="1" applyAlignment="1">
      <alignment horizontal="right" vertical="center" wrapText="1"/>
    </xf>
    <xf numFmtId="4" fontId="0" fillId="0" borderId="56" xfId="0" applyNumberFormat="1" applyFont="1" applyFill="1" applyBorder="1" applyAlignment="1">
      <alignment vertical="top"/>
    </xf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116" xfId="0" applyNumberFormat="1" applyFont="1" applyFill="1" applyBorder="1" applyAlignment="1">
      <alignment vertical="top"/>
    </xf>
    <xf numFmtId="4" fontId="0" fillId="0" borderId="94" xfId="0" applyNumberFormat="1" applyFont="1" applyFill="1" applyBorder="1" applyAlignment="1">
      <alignment vertical="top" wrapText="1"/>
    </xf>
    <xf numFmtId="4" fontId="0" fillId="0" borderId="125" xfId="0" applyNumberFormat="1" applyFont="1" applyFill="1" applyBorder="1" applyAlignment="1">
      <alignment horizontal="right" vertical="center" wrapText="1"/>
    </xf>
    <xf numFmtId="4" fontId="0" fillId="0" borderId="124" xfId="0" applyNumberFormat="1" applyFont="1" applyBorder="1" applyAlignment="1">
      <alignment vertical="top" wrapText="1"/>
    </xf>
    <xf numFmtId="4" fontId="0" fillId="0" borderId="127" xfId="0" applyNumberFormat="1" applyFont="1" applyBorder="1" applyAlignment="1">
      <alignment horizontal="right" vertical="center" wrapText="1"/>
    </xf>
    <xf numFmtId="4" fontId="0" fillId="0" borderId="123" xfId="0" applyNumberFormat="1" applyFont="1" applyBorder="1" applyAlignment="1">
      <alignment vertical="top" wrapText="1"/>
    </xf>
    <xf numFmtId="4" fontId="19" fillId="24" borderId="69" xfId="0" applyNumberFormat="1" applyFont="1" applyFill="1" applyBorder="1" applyAlignment="1">
      <alignment vertical="top" wrapText="1"/>
    </xf>
    <xf numFmtId="4" fontId="19" fillId="24" borderId="48" xfId="0" applyNumberFormat="1" applyFont="1" applyFill="1" applyBorder="1" applyAlignment="1">
      <alignment vertical="top" wrapText="1"/>
    </xf>
    <xf numFmtId="4" fontId="0" fillId="0" borderId="102" xfId="0" applyNumberFormat="1" applyFont="1" applyFill="1" applyBorder="1" applyAlignment="1">
      <alignment vertical="top" wrapText="1"/>
    </xf>
    <xf numFmtId="4" fontId="0" fillId="0" borderId="119" xfId="0" applyNumberFormat="1" applyFont="1" applyBorder="1" applyAlignment="1">
      <alignment vertical="top" wrapText="1"/>
    </xf>
    <xf numFmtId="4" fontId="0" fillId="0" borderId="51" xfId="0" applyNumberFormat="1" applyFont="1" applyFill="1" applyBorder="1" applyAlignment="1">
      <alignment vertical="top"/>
    </xf>
    <xf numFmtId="4" fontId="0" fillId="0" borderId="111" xfId="0" applyNumberFormat="1" applyFont="1" applyBorder="1" applyAlignment="1">
      <alignment vertical="top"/>
    </xf>
    <xf numFmtId="4" fontId="0" fillId="0" borderId="97" xfId="0" applyNumberFormat="1" applyFont="1" applyBorder="1" applyAlignment="1">
      <alignment vertical="top" wrapText="1"/>
    </xf>
    <xf numFmtId="4" fontId="0" fillId="0" borderId="118" xfId="0" applyNumberFormat="1" applyFont="1" applyFill="1" applyBorder="1" applyAlignment="1">
      <alignment vertical="top" wrapText="1"/>
    </xf>
    <xf numFmtId="4" fontId="0" fillId="0" borderId="124" xfId="0" applyNumberFormat="1" applyFont="1" applyFill="1" applyBorder="1" applyAlignment="1">
      <alignment vertical="top" wrapText="1"/>
    </xf>
    <xf numFmtId="4" fontId="0" fillId="0" borderId="115" xfId="0" applyNumberFormat="1" applyFont="1" applyFill="1" applyBorder="1" applyAlignment="1">
      <alignment vertical="top" wrapText="1"/>
    </xf>
    <xf numFmtId="4" fontId="0" fillId="0" borderId="21" xfId="0" applyNumberFormat="1" applyFont="1" applyFill="1" applyBorder="1" applyAlignment="1">
      <alignment vertical="top"/>
    </xf>
    <xf numFmtId="4" fontId="19" fillId="21" borderId="128" xfId="0" applyNumberFormat="1" applyFont="1" applyFill="1" applyBorder="1" applyAlignment="1">
      <alignment vertical="top" wrapText="1"/>
    </xf>
    <xf numFmtId="4" fontId="19" fillId="58" borderId="129" xfId="0" applyNumberFormat="1" applyFont="1" applyFill="1" applyBorder="1" applyAlignment="1">
      <alignment vertical="top" wrapText="1"/>
    </xf>
    <xf numFmtId="4" fontId="19" fillId="58" borderId="130" xfId="0" applyNumberFormat="1" applyFont="1" applyFill="1" applyBorder="1" applyAlignment="1">
      <alignment vertical="top" wrapText="1"/>
    </xf>
    <xf numFmtId="4" fontId="19" fillId="21" borderId="131" xfId="0" applyNumberFormat="1" applyFont="1" applyFill="1" applyBorder="1" applyAlignment="1">
      <alignment vertical="top" wrapText="1"/>
    </xf>
    <xf numFmtId="4" fontId="19" fillId="21" borderId="132" xfId="0" applyNumberFormat="1" applyFont="1" applyFill="1" applyBorder="1" applyAlignment="1">
      <alignment vertical="top" wrapText="1"/>
    </xf>
    <xf numFmtId="4" fontId="19" fillId="21" borderId="69" xfId="0" applyNumberFormat="1" applyFont="1" applyFill="1" applyBorder="1" applyAlignment="1">
      <alignment vertical="top" wrapText="1"/>
    </xf>
    <xf numFmtId="4" fontId="19" fillId="58" borderId="110" xfId="0" applyNumberFormat="1" applyFont="1" applyFill="1" applyBorder="1" applyAlignment="1">
      <alignment vertical="top" wrapText="1"/>
    </xf>
    <xf numFmtId="4" fontId="19" fillId="58" borderId="49" xfId="0" applyNumberFormat="1" applyFont="1" applyFill="1" applyBorder="1" applyAlignment="1">
      <alignment vertical="top" wrapText="1"/>
    </xf>
    <xf numFmtId="4" fontId="19" fillId="21" borderId="24" xfId="0" applyNumberFormat="1" applyFont="1" applyFill="1" applyBorder="1" applyAlignment="1">
      <alignment vertical="top" wrapText="1"/>
    </xf>
    <xf numFmtId="4" fontId="19" fillId="21" borderId="111" xfId="0" applyNumberFormat="1" applyFont="1" applyFill="1" applyBorder="1" applyAlignment="1">
      <alignment vertical="top" wrapText="1"/>
    </xf>
    <xf numFmtId="4" fontId="19" fillId="21" borderId="70" xfId="0" applyNumberFormat="1" applyFont="1" applyFill="1" applyBorder="1" applyAlignment="1">
      <alignment vertical="top" wrapText="1"/>
    </xf>
    <xf numFmtId="4" fontId="19" fillId="58" borderId="133" xfId="0" applyNumberFormat="1" applyFont="1" applyFill="1" applyBorder="1" applyAlignment="1">
      <alignment vertical="top" wrapText="1"/>
    </xf>
    <xf numFmtId="4" fontId="19" fillId="58" borderId="134" xfId="0" applyNumberFormat="1" applyFont="1" applyFill="1" applyBorder="1" applyAlignment="1">
      <alignment vertical="top" wrapText="1"/>
    </xf>
    <xf numFmtId="4" fontId="0" fillId="58" borderId="52" xfId="0" applyNumberFormat="1" applyFont="1" applyFill="1" applyBorder="1" applyAlignment="1">
      <alignment vertical="top"/>
    </xf>
    <xf numFmtId="4" fontId="19" fillId="21" borderId="135" xfId="0" applyNumberFormat="1" applyFont="1" applyFill="1" applyBorder="1" applyAlignment="1">
      <alignment vertical="top" wrapText="1"/>
    </xf>
    <xf numFmtId="4" fontId="19" fillId="21" borderId="136" xfId="0" applyNumberFormat="1" applyFont="1" applyFill="1" applyBorder="1" applyAlignment="1">
      <alignment vertical="top" wrapText="1"/>
    </xf>
    <xf numFmtId="4" fontId="19" fillId="58" borderId="75" xfId="0" applyNumberFormat="1" applyFont="1" applyFill="1" applyBorder="1" applyAlignment="1">
      <alignment vertical="top" wrapText="1"/>
    </xf>
    <xf numFmtId="4" fontId="19" fillId="58" borderId="23" xfId="0" applyNumberFormat="1" applyFont="1" applyFill="1" applyBorder="1" applyAlignment="1">
      <alignment vertical="top"/>
    </xf>
    <xf numFmtId="3" fontId="31" fillId="0" borderId="0" xfId="0" applyNumberFormat="1" applyFont="1" applyBorder="1" applyAlignment="1">
      <alignment horizontal="center" vertical="top"/>
    </xf>
    <xf numFmtId="0" fontId="0" fillId="0" borderId="97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01" xfId="0" applyFont="1" applyBorder="1" applyAlignment="1">
      <alignment horizontal="center" vertical="top"/>
    </xf>
    <xf numFmtId="0" fontId="0" fillId="0" borderId="44" xfId="0" applyFont="1" applyBorder="1" applyAlignment="1">
      <alignment horizontal="center" vertical="top"/>
    </xf>
    <xf numFmtId="0" fontId="0" fillId="0" borderId="98" xfId="0" applyFont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97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33" fillId="0" borderId="23" xfId="0" applyFont="1" applyFill="1" applyBorder="1" applyAlignment="1">
      <alignment horizontal="left" vertical="top" wrapText="1"/>
    </xf>
    <xf numFmtId="0" fontId="33" fillId="0" borderId="57" xfId="0" applyFont="1" applyFill="1" applyBorder="1" applyAlignment="1">
      <alignment horizontal="left" vertical="top" wrapText="1"/>
    </xf>
    <xf numFmtId="0" fontId="0" fillId="0" borderId="94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33" fillId="0" borderId="101" xfId="0" applyFont="1" applyFill="1" applyBorder="1" applyAlignment="1">
      <alignment horizontal="left" vertical="top" wrapText="1"/>
    </xf>
    <xf numFmtId="0" fontId="0" fillId="0" borderId="110" xfId="0" applyFont="1" applyBorder="1" applyAlignment="1">
      <alignment horizontal="center" vertical="top" wrapText="1"/>
    </xf>
    <xf numFmtId="0" fontId="0" fillId="0" borderId="137" xfId="0" applyFont="1" applyBorder="1" applyAlignment="1">
      <alignment horizontal="center" vertical="top" wrapText="1"/>
    </xf>
    <xf numFmtId="0" fontId="0" fillId="41" borderId="124" xfId="0" applyFont="1" applyFill="1" applyBorder="1" applyAlignment="1">
      <alignment horizontal="left" vertical="top" wrapText="1"/>
    </xf>
    <xf numFmtId="0" fontId="0" fillId="41" borderId="115" xfId="0" applyFont="1" applyFill="1" applyBorder="1" applyAlignment="1">
      <alignment horizontal="left" vertical="top" wrapText="1"/>
    </xf>
    <xf numFmtId="0" fontId="0" fillId="41" borderId="1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91" xfId="0" applyFont="1" applyBorder="1" applyAlignment="1">
      <alignment horizontal="center" vertical="top" wrapText="1"/>
    </xf>
    <xf numFmtId="0" fontId="0" fillId="0" borderId="1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60" xfId="0" applyFont="1" applyFill="1" applyBorder="1" applyAlignment="1">
      <alignment horizontal="left" vertical="top" wrapText="1"/>
    </xf>
    <xf numFmtId="0" fontId="0" fillId="0" borderId="99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138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8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38" xfId="0" applyFont="1" applyFill="1" applyBorder="1" applyAlignment="1">
      <alignment horizontal="center" vertical="top" wrapText="1"/>
    </xf>
    <xf numFmtId="0" fontId="0" fillId="0" borderId="65" xfId="0" applyFont="1" applyFill="1" applyBorder="1" applyAlignment="1">
      <alignment horizontal="center" vertical="top" wrapText="1"/>
    </xf>
    <xf numFmtId="0" fontId="0" fillId="0" borderId="101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39" xfId="0" applyFont="1" applyFill="1" applyBorder="1" applyAlignment="1">
      <alignment horizontal="center" vertical="top"/>
    </xf>
    <xf numFmtId="0" fontId="0" fillId="0" borderId="118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93" xfId="0" applyFont="1" applyFill="1" applyBorder="1" applyAlignment="1">
      <alignment horizontal="center" vertical="top"/>
    </xf>
    <xf numFmtId="0" fontId="0" fillId="0" borderId="95" xfId="0" applyFont="1" applyFill="1" applyBorder="1" applyAlignment="1">
      <alignment horizontal="center" vertical="top"/>
    </xf>
    <xf numFmtId="0" fontId="0" fillId="0" borderId="94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83" xfId="0" applyFont="1" applyBorder="1" applyAlignment="1">
      <alignment horizontal="center" vertical="top"/>
    </xf>
    <xf numFmtId="0" fontId="0" fillId="41" borderId="45" xfId="0" applyFont="1" applyFill="1" applyBorder="1" applyAlignment="1">
      <alignment horizontal="left" vertical="top" wrapText="1"/>
    </xf>
    <xf numFmtId="0" fontId="0" fillId="41" borderId="51" xfId="0" applyFont="1" applyFill="1" applyBorder="1" applyAlignment="1">
      <alignment horizontal="left" vertical="top" wrapText="1"/>
    </xf>
    <xf numFmtId="0" fontId="0" fillId="41" borderId="98" xfId="0" applyFont="1" applyFill="1" applyBorder="1" applyAlignment="1">
      <alignment horizontal="left" vertical="top" wrapText="1"/>
    </xf>
    <xf numFmtId="0" fontId="0" fillId="41" borderId="102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left" vertical="top" wrapText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19" fillId="40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/>
    </xf>
    <xf numFmtId="0" fontId="32" fillId="0" borderId="24" xfId="0" applyFont="1" applyFill="1" applyBorder="1" applyAlignment="1" applyProtection="1">
      <alignment horizontal="center" vertical="top" wrapText="1"/>
      <protection hidden="1"/>
    </xf>
    <xf numFmtId="0" fontId="31" fillId="20" borderId="61" xfId="0" applyFont="1" applyFill="1" applyBorder="1" applyAlignment="1">
      <alignment horizontal="center" vertical="center" wrapText="1"/>
    </xf>
    <xf numFmtId="0" fontId="31" fillId="20" borderId="140" xfId="0" applyFont="1" applyFill="1" applyBorder="1" applyAlignment="1">
      <alignment horizontal="center" vertical="center" wrapText="1"/>
    </xf>
    <xf numFmtId="0" fontId="31" fillId="20" borderId="47" xfId="0" applyFont="1" applyFill="1" applyBorder="1" applyAlignment="1">
      <alignment horizontal="center" vertical="center" wrapText="1"/>
    </xf>
    <xf numFmtId="0" fontId="19" fillId="40" borderId="24" xfId="0" applyFont="1" applyFill="1" applyBorder="1" applyAlignment="1">
      <alignment horizontal="center" vertical="top"/>
    </xf>
    <xf numFmtId="0" fontId="19" fillId="40" borderId="39" xfId="0" applyFont="1" applyFill="1" applyBorder="1" applyAlignment="1">
      <alignment horizontal="center" vertical="top"/>
    </xf>
    <xf numFmtId="0" fontId="19" fillId="21" borderId="141" xfId="0" applyFont="1" applyFill="1" applyBorder="1" applyAlignment="1">
      <alignment horizontal="center" vertical="top" wrapText="1"/>
    </xf>
    <xf numFmtId="0" fontId="19" fillId="21" borderId="142" xfId="0" applyFont="1" applyFill="1" applyBorder="1" applyAlignment="1">
      <alignment horizontal="center" vertical="top" wrapText="1"/>
    </xf>
    <xf numFmtId="0" fontId="19" fillId="21" borderId="143" xfId="0" applyFont="1" applyFill="1" applyBorder="1" applyAlignment="1">
      <alignment horizontal="center" vertical="top" wrapText="1"/>
    </xf>
    <xf numFmtId="0" fontId="19" fillId="21" borderId="144" xfId="0" applyFont="1" applyFill="1" applyBorder="1" applyAlignment="1">
      <alignment horizontal="center" vertical="top" wrapText="1"/>
    </xf>
    <xf numFmtId="0" fontId="19" fillId="21" borderId="145" xfId="0" applyFont="1" applyFill="1" applyBorder="1" applyAlignment="1">
      <alignment horizontal="center" vertical="top" wrapText="1"/>
    </xf>
    <xf numFmtId="0" fontId="19" fillId="21" borderId="146" xfId="0" applyFont="1" applyFill="1" applyBorder="1" applyAlignment="1">
      <alignment horizontal="center" vertical="top" wrapText="1"/>
    </xf>
    <xf numFmtId="0" fontId="19" fillId="20" borderId="24" xfId="0" applyFont="1" applyFill="1" applyBorder="1" applyAlignment="1">
      <alignment horizontal="center" vertical="center"/>
    </xf>
    <xf numFmtId="0" fontId="19" fillId="20" borderId="3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3" fontId="19" fillId="21" borderId="128" xfId="0" applyNumberFormat="1" applyFont="1" applyFill="1" applyBorder="1" applyAlignment="1">
      <alignment horizontal="center" vertical="top" wrapText="1"/>
    </xf>
    <xf numFmtId="3" fontId="19" fillId="21" borderId="69" xfId="0" applyNumberFormat="1" applyFont="1" applyFill="1" applyBorder="1" applyAlignment="1">
      <alignment horizontal="center" vertical="top" wrapText="1"/>
    </xf>
    <xf numFmtId="3" fontId="19" fillId="21" borderId="70" xfId="0" applyNumberFormat="1" applyFont="1" applyFill="1" applyBorder="1" applyAlignment="1">
      <alignment horizontal="center" vertical="top" wrapText="1"/>
    </xf>
    <xf numFmtId="0" fontId="19" fillId="40" borderId="24" xfId="0" applyFont="1" applyFill="1" applyBorder="1" applyAlignment="1">
      <alignment horizontal="center"/>
    </xf>
    <xf numFmtId="0" fontId="0" fillId="0" borderId="93" xfId="0" applyFont="1" applyBorder="1" applyAlignment="1">
      <alignment horizontal="center" vertical="top"/>
    </xf>
    <xf numFmtId="0" fontId="0" fillId="0" borderId="147" xfId="0" applyFont="1" applyBorder="1" applyAlignment="1">
      <alignment horizontal="center" vertical="top"/>
    </xf>
    <xf numFmtId="0" fontId="0" fillId="0" borderId="148" xfId="0" applyFont="1" applyBorder="1" applyAlignment="1">
      <alignment horizontal="center" vertical="top"/>
    </xf>
    <xf numFmtId="0" fontId="0" fillId="0" borderId="149" xfId="0" applyFont="1" applyBorder="1" applyAlignment="1">
      <alignment horizontal="center" vertical="top"/>
    </xf>
    <xf numFmtId="0" fontId="0" fillId="0" borderId="150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0" fillId="41" borderId="151" xfId="0" applyFont="1" applyFill="1" applyBorder="1" applyAlignment="1">
      <alignment horizontal="left" vertical="top" wrapText="1"/>
    </xf>
    <xf numFmtId="0" fontId="0" fillId="41" borderId="152" xfId="0" applyFont="1" applyFill="1" applyBorder="1" applyAlignment="1">
      <alignment horizontal="left" vertical="top" wrapText="1"/>
    </xf>
    <xf numFmtId="0" fontId="0" fillId="41" borderId="46" xfId="0" applyFont="1" applyFill="1" applyBorder="1" applyAlignment="1">
      <alignment horizontal="left" vertical="top" wrapText="1"/>
    </xf>
    <xf numFmtId="0" fontId="33" fillId="41" borderId="101" xfId="0" applyFont="1" applyFill="1" applyBorder="1" applyAlignment="1">
      <alignment horizontal="left" vertical="top" wrapText="1"/>
    </xf>
    <xf numFmtId="0" fontId="33" fillId="41" borderId="23" xfId="0" applyFont="1" applyFill="1" applyBorder="1" applyAlignment="1">
      <alignment horizontal="left" vertical="top" wrapText="1"/>
    </xf>
    <xf numFmtId="0" fontId="33" fillId="41" borderId="57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98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0" fillId="0" borderId="124" xfId="0" applyFont="1" applyFill="1" applyBorder="1" applyAlignment="1">
      <alignment horizontal="left" vertical="top" wrapText="1"/>
    </xf>
    <xf numFmtId="0" fontId="0" fillId="0" borderId="115" xfId="0" applyFont="1" applyFill="1" applyBorder="1" applyAlignment="1">
      <alignment horizontal="left" vertical="top" wrapText="1"/>
    </xf>
    <xf numFmtId="0" fontId="0" fillId="0" borderId="123" xfId="0" applyFont="1" applyFill="1" applyBorder="1" applyAlignment="1">
      <alignment horizontal="left" vertical="top" wrapText="1"/>
    </xf>
    <xf numFmtId="0" fontId="25" fillId="0" borderId="21" xfId="0" applyFont="1" applyBorder="1" applyAlignment="1">
      <alignment horizontal="center" vertical="center"/>
    </xf>
    <xf numFmtId="0" fontId="0" fillId="41" borderId="44" xfId="0" applyFont="1" applyFill="1" applyBorder="1" applyAlignment="1">
      <alignment horizontal="left" vertical="top" wrapText="1"/>
    </xf>
    <xf numFmtId="0" fontId="23" fillId="20" borderId="21" xfId="0" applyFont="1" applyFill="1" applyBorder="1" applyAlignment="1">
      <alignment horizontal="center" vertical="center"/>
    </xf>
    <xf numFmtId="0" fontId="23" fillId="20" borderId="49" xfId="0" applyFont="1" applyFill="1" applyBorder="1" applyAlignment="1">
      <alignment horizontal="center" vertical="center"/>
    </xf>
    <xf numFmtId="0" fontId="23" fillId="20" borderId="45" xfId="0" applyFont="1" applyFill="1" applyBorder="1" applyAlignment="1">
      <alignment horizontal="center" vertical="center" wrapText="1"/>
    </xf>
    <xf numFmtId="0" fontId="23" fillId="20" borderId="126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9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/>
    </xf>
    <xf numFmtId="0" fontId="23" fillId="20" borderId="84" xfId="0" applyFont="1" applyFill="1" applyBorder="1" applyAlignment="1">
      <alignment horizontal="center" vertical="center" wrapText="1"/>
    </xf>
    <xf numFmtId="0" fontId="23" fillId="20" borderId="15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0" fillId="0" borderId="94" xfId="0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97" xfId="0" applyFont="1" applyFill="1" applyBorder="1" applyAlignment="1">
      <alignment horizontal="center" vertical="top" wrapText="1"/>
    </xf>
    <xf numFmtId="0" fontId="23" fillId="20" borderId="73" xfId="0" applyFont="1" applyFill="1" applyBorder="1" applyAlignment="1">
      <alignment horizontal="center" vertical="center" wrapText="1"/>
    </xf>
    <xf numFmtId="0" fontId="23" fillId="20" borderId="154" xfId="0" applyFont="1" applyFill="1" applyBorder="1" applyAlignment="1">
      <alignment horizontal="center" vertical="center" wrapText="1"/>
    </xf>
    <xf numFmtId="0" fontId="23" fillId="20" borderId="155" xfId="0" applyFont="1" applyFill="1" applyBorder="1" applyAlignment="1">
      <alignment horizontal="center" vertical="center" wrapText="1"/>
    </xf>
    <xf numFmtId="0" fontId="19" fillId="40" borderId="40" xfId="0" applyFont="1" applyFill="1" applyBorder="1" applyAlignment="1">
      <alignment horizontal="center" vertical="center" wrapText="1"/>
    </xf>
    <xf numFmtId="49" fontId="19" fillId="20" borderId="24" xfId="0" applyNumberFormat="1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top"/>
    </xf>
    <xf numFmtId="0" fontId="0" fillId="0" borderId="150" xfId="0" applyFont="1" applyFill="1" applyBorder="1" applyAlignment="1">
      <alignment horizontal="center" vertical="top"/>
    </xf>
    <xf numFmtId="0" fontId="0" fillId="0" borderId="148" xfId="0" applyFont="1" applyFill="1" applyBorder="1" applyAlignment="1">
      <alignment horizontal="center" vertical="top"/>
    </xf>
    <xf numFmtId="0" fontId="0" fillId="0" borderId="101" xfId="0" applyFont="1" applyFill="1" applyBorder="1" applyAlignment="1">
      <alignment horizontal="center" vertical="top"/>
    </xf>
    <xf numFmtId="0" fontId="0" fillId="0" borderId="44" xfId="0" applyFont="1" applyFill="1" applyBorder="1" applyAlignment="1">
      <alignment horizontal="center" vertical="top"/>
    </xf>
    <xf numFmtId="0" fontId="0" fillId="0" borderId="98" xfId="0" applyFont="1" applyFill="1" applyBorder="1" applyAlignment="1">
      <alignment horizontal="center" vertical="top"/>
    </xf>
    <xf numFmtId="0" fontId="19" fillId="20" borderId="89" xfId="0" applyFont="1" applyFill="1" applyBorder="1" applyAlignment="1">
      <alignment horizontal="center" vertical="center"/>
    </xf>
    <xf numFmtId="0" fontId="19" fillId="20" borderId="4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20" borderId="21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3" fontId="19" fillId="20" borderId="18" xfId="0" applyNumberFormat="1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wrapText="1"/>
    </xf>
    <xf numFmtId="0" fontId="34" fillId="32" borderId="39" xfId="0" applyFont="1" applyFill="1" applyBorder="1" applyAlignment="1">
      <alignment horizontal="left"/>
    </xf>
    <xf numFmtId="0" fontId="34" fillId="32" borderId="62" xfId="0" applyFont="1" applyFill="1" applyBorder="1" applyAlignment="1">
      <alignment horizontal="left"/>
    </xf>
    <xf numFmtId="0" fontId="34" fillId="32" borderId="40" xfId="0" applyFont="1" applyFill="1" applyBorder="1" applyAlignment="1">
      <alignment horizontal="left"/>
    </xf>
    <xf numFmtId="0" fontId="34" fillId="32" borderId="103" xfId="0" applyFont="1" applyFill="1" applyBorder="1" applyAlignment="1">
      <alignment horizontal="justify" vertical="top" wrapText="1"/>
    </xf>
    <xf numFmtId="0" fontId="34" fillId="32" borderId="104" xfId="0" applyFont="1" applyFill="1" applyBorder="1" applyAlignment="1">
      <alignment horizontal="justify" vertical="top" wrapText="1"/>
    </xf>
    <xf numFmtId="0" fontId="21" fillId="0" borderId="0" xfId="0" applyFont="1" applyAlignment="1">
      <alignment horizontal="center" wrapText="1"/>
    </xf>
    <xf numFmtId="0" fontId="43" fillId="41" borderId="34" xfId="0" applyFont="1" applyFill="1" applyBorder="1" applyAlignment="1">
      <alignment horizontal="justify" vertical="top" wrapText="1"/>
    </xf>
    <xf numFmtId="0" fontId="43" fillId="41" borderId="25" xfId="0" applyFont="1" applyFill="1" applyBorder="1" applyAlignment="1">
      <alignment horizontal="justify" vertical="top" wrapText="1"/>
    </xf>
    <xf numFmtId="0" fontId="34" fillId="0" borderId="67" xfId="0" applyFont="1" applyBorder="1" applyAlignment="1">
      <alignment horizontal="center" wrapText="1"/>
    </xf>
    <xf numFmtId="0" fontId="34" fillId="0" borderId="63" xfId="0" applyFont="1" applyBorder="1" applyAlignment="1">
      <alignment horizontal="center" wrapText="1"/>
    </xf>
    <xf numFmtId="0" fontId="34" fillId="0" borderId="58" xfId="0" applyFont="1" applyBorder="1" applyAlignment="1">
      <alignment horizont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19" fillId="20" borderId="39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top"/>
    </xf>
    <xf numFmtId="0" fontId="0" fillId="0" borderId="39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center" vertical="top"/>
    </xf>
    <xf numFmtId="3" fontId="22" fillId="20" borderId="3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top" wrapText="1"/>
    </xf>
    <xf numFmtId="0" fontId="19" fillId="20" borderId="24" xfId="0" applyFont="1" applyFill="1" applyBorder="1" applyAlignment="1">
      <alignment horizontal="center" vertical="top" wrapText="1"/>
    </xf>
    <xf numFmtId="0" fontId="19" fillId="20" borderId="144" xfId="0" applyFont="1" applyFill="1" applyBorder="1" applyAlignment="1">
      <alignment horizontal="center" vertical="center"/>
    </xf>
    <xf numFmtId="0" fontId="0" fillId="0" borderId="156" xfId="0" applyFont="1" applyFill="1" applyBorder="1" applyAlignment="1">
      <alignment horizontal="left" vertical="top"/>
    </xf>
    <xf numFmtId="0" fontId="0" fillId="0" borderId="126" xfId="0" applyFont="1" applyFill="1" applyBorder="1" applyAlignment="1">
      <alignment horizontal="left" vertical="top"/>
    </xf>
    <xf numFmtId="0" fontId="19" fillId="25" borderId="144" xfId="0" applyFont="1" applyFill="1" applyBorder="1" applyAlignment="1">
      <alignment horizontal="left" vertical="top"/>
    </xf>
    <xf numFmtId="0" fontId="0" fillId="0" borderId="44" xfId="0" applyFont="1" applyFill="1" applyBorder="1" applyAlignment="1">
      <alignment vertical="top" wrapText="1"/>
    </xf>
    <xf numFmtId="0" fontId="19" fillId="20" borderId="13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left" vertical="top"/>
    </xf>
    <xf numFmtId="0" fontId="0" fillId="0" borderId="156" xfId="0" applyFont="1" applyFill="1" applyBorder="1" applyAlignment="1">
      <alignment horizontal="left" vertical="top" wrapText="1"/>
    </xf>
    <xf numFmtId="0" fontId="0" fillId="0" borderId="157" xfId="0" applyFont="1" applyFill="1" applyBorder="1" applyAlignment="1">
      <alignment horizontal="left" vertical="top" wrapText="1"/>
    </xf>
    <xf numFmtId="0" fontId="0" fillId="0" borderId="23" xfId="54" applyFont="1" applyFill="1" applyBorder="1" applyAlignment="1">
      <alignment horizontal="left" vertical="top" wrapText="1"/>
      <protection/>
    </xf>
    <xf numFmtId="0" fontId="0" fillId="0" borderId="156" xfId="54" applyFont="1" applyFill="1" applyBorder="1" applyAlignment="1">
      <alignment horizontal="left" vertical="top" wrapText="1"/>
      <protection/>
    </xf>
    <xf numFmtId="0" fontId="0" fillId="0" borderId="157" xfId="54" applyFont="1" applyFill="1" applyBorder="1" applyAlignment="1">
      <alignment horizontal="left" vertical="top" wrapText="1"/>
      <protection/>
    </xf>
    <xf numFmtId="0" fontId="19" fillId="20" borderId="2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62" xfId="0" applyBorder="1" applyAlignment="1">
      <alignment/>
    </xf>
    <xf numFmtId="0" fontId="0" fillId="0" borderId="0" xfId="0" applyFill="1" applyAlignment="1">
      <alignment horizontal="right"/>
    </xf>
    <xf numFmtId="49" fontId="19" fillId="21" borderId="24" xfId="0" applyNumberFormat="1" applyFont="1" applyFill="1" applyBorder="1" applyAlignment="1">
      <alignment horizontal="center" vertical="top" wrapText="1"/>
    </xf>
    <xf numFmtId="49" fontId="19" fillId="21" borderId="39" xfId="0" applyNumberFormat="1" applyFont="1" applyFill="1" applyBorder="1" applyAlignment="1">
      <alignment horizontal="center" vertical="top" wrapText="1"/>
    </xf>
    <xf numFmtId="3" fontId="19" fillId="20" borderId="89" xfId="0" applyNumberFormat="1" applyFont="1" applyFill="1" applyBorder="1" applyAlignment="1">
      <alignment horizontal="center" vertical="center" wrapText="1"/>
    </xf>
    <xf numFmtId="3" fontId="19" fillId="20" borderId="4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/>
    </xf>
    <xf numFmtId="164" fontId="34" fillId="0" borderId="0" xfId="63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9" fillId="20" borderId="158" xfId="0" applyFont="1" applyFill="1" applyBorder="1" applyAlignment="1">
      <alignment horizontal="center" vertical="center"/>
    </xf>
    <xf numFmtId="0" fontId="19" fillId="20" borderId="159" xfId="0" applyFont="1" applyFill="1" applyBorder="1" applyAlignment="1">
      <alignment horizontal="center" vertical="center"/>
    </xf>
    <xf numFmtId="0" fontId="19" fillId="40" borderId="46" xfId="0" applyFont="1" applyFill="1" applyBorder="1" applyAlignment="1">
      <alignment horizontal="left"/>
    </xf>
    <xf numFmtId="0" fontId="19" fillId="40" borderId="83" xfId="0" applyFont="1" applyFill="1" applyBorder="1" applyAlignment="1">
      <alignment horizontal="left"/>
    </xf>
    <xf numFmtId="0" fontId="0" fillId="0" borderId="62" xfId="0" applyBorder="1" applyAlignment="1">
      <alignment wrapText="1"/>
    </xf>
    <xf numFmtId="0" fontId="0" fillId="0" borderId="40" xfId="0" applyBorder="1" applyAlignment="1">
      <alignment wrapText="1"/>
    </xf>
    <xf numFmtId="0" fontId="19" fillId="20" borderId="89" xfId="0" applyFont="1" applyFill="1" applyBorder="1" applyAlignment="1">
      <alignment horizontal="center" vertical="top" wrapText="1"/>
    </xf>
    <xf numFmtId="0" fontId="19" fillId="20" borderId="41" xfId="0" applyFont="1" applyFill="1" applyBorder="1" applyAlignment="1">
      <alignment horizontal="center" vertical="top" wrapText="1"/>
    </xf>
    <xf numFmtId="3" fontId="19" fillId="20" borderId="61" xfId="0" applyNumberFormat="1" applyFont="1" applyFill="1" applyBorder="1" applyAlignment="1">
      <alignment horizontal="center" vertical="top" wrapText="1"/>
    </xf>
    <xf numFmtId="3" fontId="19" fillId="20" borderId="24" xfId="0" applyNumberFormat="1" applyFont="1" applyFill="1" applyBorder="1" applyAlignment="1">
      <alignment horizontal="center" vertical="top" wrapText="1"/>
    </xf>
    <xf numFmtId="3" fontId="19" fillId="20" borderId="25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horizontal="left" vertical="top"/>
    </xf>
    <xf numFmtId="0" fontId="19" fillId="40" borderId="39" xfId="0" applyFont="1" applyFill="1" applyBorder="1" applyAlignment="1">
      <alignment horizontal="left"/>
    </xf>
    <xf numFmtId="0" fontId="19" fillId="40" borderId="62" xfId="0" applyFont="1" applyFill="1" applyBorder="1" applyAlignment="1">
      <alignment horizontal="left"/>
    </xf>
    <xf numFmtId="10" fontId="19" fillId="20" borderId="25" xfId="0" applyNumberFormat="1" applyFont="1" applyFill="1" applyBorder="1" applyAlignment="1">
      <alignment horizontal="center" vertical="center" wrapText="1"/>
    </xf>
    <xf numFmtId="10" fontId="19" fillId="20" borderId="100" xfId="0" applyNumberFormat="1" applyFont="1" applyFill="1" applyBorder="1" applyAlignment="1">
      <alignment horizontal="center" vertical="center" wrapText="1"/>
    </xf>
    <xf numFmtId="10" fontId="19" fillId="20" borderId="26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top" wrapText="1"/>
    </xf>
    <xf numFmtId="0" fontId="22" fillId="0" borderId="100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24" xfId="0" applyFont="1" applyBorder="1" applyAlignment="1">
      <alignment vertical="top" wrapText="1"/>
    </xf>
    <xf numFmtId="0" fontId="22" fillId="0" borderId="24" xfId="0" applyFont="1" applyBorder="1" applyAlignment="1">
      <alignment horizontal="left" vertical="top" wrapText="1"/>
    </xf>
    <xf numFmtId="0" fontId="22" fillId="20" borderId="24" xfId="0" applyFont="1" applyFill="1" applyBorder="1" applyAlignment="1">
      <alignment horizontal="left" vertical="top" wrapText="1"/>
    </xf>
    <xf numFmtId="0" fontId="20" fillId="20" borderId="24" xfId="0" applyFont="1" applyFill="1" applyBorder="1" applyAlignment="1">
      <alignment horizontal="center" vertical="center" wrapText="1"/>
    </xf>
    <xf numFmtId="0" fontId="20" fillId="20" borderId="39" xfId="0" applyFont="1" applyFill="1" applyBorder="1" applyAlignment="1">
      <alignment horizontal="center" vertical="center" wrapText="1"/>
    </xf>
    <xf numFmtId="0" fontId="22" fillId="21" borderId="24" xfId="0" applyFont="1" applyFill="1" applyBorder="1" applyAlignment="1">
      <alignment horizontal="center" vertical="top" wrapText="1"/>
    </xf>
    <xf numFmtId="10" fontId="22" fillId="20" borderId="25" xfId="0" applyNumberFormat="1" applyFont="1" applyFill="1" applyBorder="1" applyAlignment="1">
      <alignment horizontal="center" vertical="center" wrapText="1"/>
    </xf>
    <xf numFmtId="10" fontId="22" fillId="20" borderId="140" xfId="0" applyNumberFormat="1" applyFont="1" applyFill="1" applyBorder="1" applyAlignment="1">
      <alignment horizontal="center" vertical="center" wrapText="1"/>
    </xf>
    <xf numFmtId="10" fontId="22" fillId="20" borderId="47" xfId="0" applyNumberFormat="1" applyFont="1" applyFill="1" applyBorder="1" applyAlignment="1">
      <alignment horizontal="center" vertical="center" wrapText="1"/>
    </xf>
    <xf numFmtId="3" fontId="22" fillId="20" borderId="61" xfId="0" applyNumberFormat="1" applyFont="1" applyFill="1" applyBorder="1" applyAlignment="1">
      <alignment horizontal="center" vertical="top" wrapText="1"/>
    </xf>
    <xf numFmtId="3" fontId="22" fillId="20" borderId="24" xfId="0" applyNumberFormat="1" applyFont="1" applyFill="1" applyBorder="1" applyAlignment="1">
      <alignment horizontal="center" vertical="top" wrapText="1"/>
    </xf>
    <xf numFmtId="3" fontId="22" fillId="20" borderId="25" xfId="0" applyNumberFormat="1" applyFont="1" applyFill="1" applyBorder="1" applyAlignment="1">
      <alignment horizontal="center" vertical="top" wrapText="1"/>
    </xf>
    <xf numFmtId="3" fontId="22" fillId="20" borderId="89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20" borderId="89" xfId="0" applyFont="1" applyFill="1" applyBorder="1" applyAlignment="1">
      <alignment horizontal="center" vertical="center" wrapText="1"/>
    </xf>
    <xf numFmtId="0" fontId="19" fillId="20" borderId="41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right" vertical="top"/>
    </xf>
    <xf numFmtId="0" fontId="22" fillId="20" borderId="24" xfId="0" applyFont="1" applyFill="1" applyBorder="1" applyAlignment="1">
      <alignment horizontal="center" vertical="center" wrapText="1"/>
    </xf>
    <xf numFmtId="0" fontId="22" fillId="20" borderId="24" xfId="0" applyFont="1" applyFill="1" applyBorder="1" applyAlignment="1">
      <alignment horizontal="center" vertical="center"/>
    </xf>
    <xf numFmtId="4" fontId="22" fillId="20" borderId="39" xfId="0" applyNumberFormat="1" applyFont="1" applyFill="1" applyBorder="1" applyAlignment="1">
      <alignment horizontal="center" vertical="center" wrapText="1"/>
    </xf>
    <xf numFmtId="3" fontId="22" fillId="20" borderId="41" xfId="0" applyNumberFormat="1" applyFont="1" applyFill="1" applyBorder="1" applyAlignment="1">
      <alignment horizontal="center" vertical="center" wrapText="1"/>
    </xf>
    <xf numFmtId="3" fontId="32" fillId="20" borderId="24" xfId="0" applyNumberFormat="1" applyFont="1" applyFill="1" applyBorder="1" applyAlignment="1">
      <alignment horizontal="center" vertical="center" wrapText="1"/>
    </xf>
    <xf numFmtId="3" fontId="22" fillId="20" borderId="40" xfId="0" applyNumberFormat="1" applyFont="1" applyFill="1" applyBorder="1" applyAlignment="1">
      <alignment horizontal="center" vertical="center" wrapText="1"/>
    </xf>
    <xf numFmtId="3" fontId="22" fillId="20" borderId="24" xfId="0" applyNumberFormat="1" applyFont="1" applyFill="1" applyBorder="1" applyAlignment="1">
      <alignment horizontal="center" vertical="center" wrapText="1"/>
    </xf>
    <xf numFmtId="3" fontId="22" fillId="20" borderId="39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top" wrapText="1"/>
    </xf>
    <xf numFmtId="0" fontId="33" fillId="0" borderId="0" xfId="52" applyFont="1" applyBorder="1" applyAlignment="1">
      <alignment horizontal="right" vertical="top" wrapText="1"/>
      <protection/>
    </xf>
    <xf numFmtId="0" fontId="6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68" fillId="0" borderId="0" xfId="52" applyFont="1" applyBorder="1" applyAlignment="1">
      <alignment horizontal="center" vertical="top" wrapText="1"/>
      <protection/>
    </xf>
    <xf numFmtId="0" fontId="22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49" fontId="22" fillId="20" borderId="18" xfId="0" applyNumberFormat="1" applyFont="1" applyFill="1" applyBorder="1" applyAlignment="1">
      <alignment horizontal="left" vertical="top"/>
    </xf>
    <xf numFmtId="49" fontId="22" fillId="21" borderId="18" xfId="0" applyNumberFormat="1" applyFont="1" applyFill="1" applyBorder="1" applyAlignment="1">
      <alignment horizontal="center" vertical="top"/>
    </xf>
    <xf numFmtId="49" fontId="22" fillId="0" borderId="53" xfId="0" applyNumberFormat="1" applyFont="1" applyBorder="1" applyAlignment="1">
      <alignment horizontal="left" vertical="top"/>
    </xf>
    <xf numFmtId="49" fontId="22" fillId="26" borderId="44" xfId="0" applyNumberFormat="1" applyFont="1" applyFill="1" applyBorder="1" applyAlignment="1">
      <alignment horizontal="left" vertical="top"/>
    </xf>
    <xf numFmtId="49" fontId="22" fillId="26" borderId="53" xfId="0" applyNumberFormat="1" applyFont="1" applyFill="1" applyBorder="1" applyAlignment="1">
      <alignment horizontal="left" vertical="top"/>
    </xf>
    <xf numFmtId="49" fontId="22" fillId="26" borderId="14" xfId="0" applyNumberFormat="1" applyFont="1" applyFill="1" applyBorder="1" applyAlignment="1">
      <alignment horizontal="left" vertical="top"/>
    </xf>
    <xf numFmtId="49" fontId="22" fillId="0" borderId="18" xfId="0" applyNumberFormat="1" applyFont="1" applyBorder="1" applyAlignment="1">
      <alignment horizontal="left" vertical="top"/>
    </xf>
    <xf numFmtId="0" fontId="19" fillId="40" borderId="46" xfId="0" applyFont="1" applyFill="1" applyBorder="1" applyAlignment="1">
      <alignment horizontal="center" vertical="top" wrapText="1"/>
    </xf>
    <xf numFmtId="0" fontId="19" fillId="40" borderId="83" xfId="0" applyFont="1" applyFill="1" applyBorder="1" applyAlignment="1">
      <alignment horizontal="center" vertical="top" wrapText="1"/>
    </xf>
    <xf numFmtId="0" fontId="19" fillId="40" borderId="47" xfId="0" applyFont="1" applyFill="1" applyBorder="1" applyAlignment="1">
      <alignment horizontal="center" vertical="top" wrapText="1"/>
    </xf>
    <xf numFmtId="0" fontId="19" fillId="40" borderId="24" xfId="0" applyFont="1" applyFill="1" applyBorder="1" applyAlignment="1">
      <alignment horizontal="center" vertical="top" wrapText="1"/>
    </xf>
    <xf numFmtId="0" fontId="19" fillId="40" borderId="39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19" fillId="32" borderId="24" xfId="0" applyFont="1" applyFill="1" applyBorder="1" applyAlignment="1">
      <alignment horizontal="center" vertical="top" wrapText="1"/>
    </xf>
    <xf numFmtId="0" fontId="19" fillId="40" borderId="60" xfId="0" applyFont="1" applyFill="1" applyBorder="1" applyAlignment="1">
      <alignment horizontal="center" vertical="top" wrapText="1"/>
    </xf>
    <xf numFmtId="0" fontId="19" fillId="40" borderId="160" xfId="0" applyFont="1" applyFill="1" applyBorder="1" applyAlignment="1">
      <alignment horizontal="center" vertical="top" wrapText="1"/>
    </xf>
    <xf numFmtId="0" fontId="19" fillId="40" borderId="61" xfId="0" applyFont="1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2" fontId="22" fillId="0" borderId="0" xfId="0" applyNumberFormat="1" applyFont="1" applyAlignment="1">
      <alignment horizontal="left" wrapText="1"/>
    </xf>
    <xf numFmtId="0" fontId="32" fillId="0" borderId="99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3" fillId="0" borderId="99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2" fillId="0" borderId="0" xfId="0" applyFont="1" applyBorder="1" applyAlignment="1" applyProtection="1">
      <alignment horizontal="center" vertical="top"/>
      <protection hidden="1"/>
    </xf>
    <xf numFmtId="0" fontId="40" fillId="0" borderId="0" xfId="0" applyFont="1" applyBorder="1" applyAlignment="1" applyProtection="1">
      <alignment horizontal="center" vertical="top"/>
      <protection hidden="1"/>
    </xf>
    <xf numFmtId="0" fontId="22" fillId="20" borderId="82" xfId="0" applyFont="1" applyFill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right" vertical="top" wrapText="1"/>
      <protection hidden="1"/>
    </xf>
    <xf numFmtId="0" fontId="32" fillId="0" borderId="0" xfId="0" applyFont="1" applyBorder="1" applyAlignment="1">
      <alignment horizontal="right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. 1" xfId="53"/>
    <cellStyle name="Normalny_Zał_ nr 1 -dochod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workbookViewId="0" topLeftCell="A98">
      <selection activeCell="G102" sqref="G102:J105"/>
    </sheetView>
  </sheetViews>
  <sheetFormatPr defaultColWidth="9.33203125" defaultRowHeight="12.75"/>
  <cols>
    <col min="1" max="1" width="4.5" style="897" customWidth="1"/>
    <col min="2" max="2" width="5.33203125" style="885" customWidth="1"/>
    <col min="3" max="3" width="6.33203125" style="885" customWidth="1"/>
    <col min="4" max="4" width="5" style="885" customWidth="1"/>
    <col min="5" max="5" width="56.66015625" style="885" customWidth="1"/>
    <col min="6" max="6" width="15.66015625" style="898" customWidth="1"/>
    <col min="7" max="7" width="13.33203125" style="885" bestFit="1" customWidth="1"/>
    <col min="8" max="8" width="10.16015625" style="885" customWidth="1"/>
    <col min="9" max="9" width="2.83203125" style="885" customWidth="1"/>
    <col min="10" max="10" width="12.83203125" style="885" customWidth="1"/>
    <col min="11" max="11" width="10.16015625" style="885" customWidth="1"/>
    <col min="12" max="12" width="11.16015625" style="897" customWidth="1"/>
    <col min="13" max="13" width="0" style="993" hidden="1" customWidth="1"/>
    <col min="14" max="16384" width="9.33203125" style="885" customWidth="1"/>
  </cols>
  <sheetData>
    <row r="1" spans="5:12" ht="12.75">
      <c r="E1" s="991"/>
      <c r="L1" s="856" t="s">
        <v>815</v>
      </c>
    </row>
    <row r="2" ht="12.75">
      <c r="L2" s="856" t="s">
        <v>795</v>
      </c>
    </row>
    <row r="3" spans="1:13" s="899" customFormat="1" ht="11.25">
      <c r="A3" s="1232" t="s">
        <v>796</v>
      </c>
      <c r="B3" s="1232"/>
      <c r="C3" s="1232"/>
      <c r="D3" s="1232"/>
      <c r="E3" s="1232"/>
      <c r="F3" s="1232"/>
      <c r="G3" s="1232"/>
      <c r="H3" s="1232"/>
      <c r="I3" s="1232"/>
      <c r="J3" s="1232"/>
      <c r="K3" s="1232"/>
      <c r="L3" s="1232"/>
      <c r="M3" s="999"/>
    </row>
    <row r="4" spans="1:13" s="899" customFormat="1" ht="11.25">
      <c r="A4" s="900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236" t="s">
        <v>428</v>
      </c>
      <c r="M4" s="999"/>
    </row>
    <row r="5" spans="1:13" s="899" customFormat="1" ht="6.75" customHeight="1">
      <c r="A5" s="992"/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9"/>
    </row>
    <row r="6" spans="1:13" s="899" customFormat="1" ht="15.75">
      <c r="A6" s="1235" t="s">
        <v>346</v>
      </c>
      <c r="B6" s="1235"/>
      <c r="C6" s="1235"/>
      <c r="D6" s="1235"/>
      <c r="E6" s="1235"/>
      <c r="F6" s="1235"/>
      <c r="G6" s="1235"/>
      <c r="H6" s="1235"/>
      <c r="I6" s="1235"/>
      <c r="J6" s="1235"/>
      <c r="K6" s="1235"/>
      <c r="L6" s="1235"/>
      <c r="M6" s="999"/>
    </row>
    <row r="7" spans="1:13" s="899" customFormat="1" ht="4.5" customHeight="1">
      <c r="A7" s="901"/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99"/>
    </row>
    <row r="8" spans="2:11" ht="15.75">
      <c r="B8" s="1233" t="s">
        <v>354</v>
      </c>
      <c r="C8" s="1233"/>
      <c r="D8" s="1233"/>
      <c r="E8" s="1233"/>
      <c r="F8" s="1233"/>
      <c r="G8" s="1233"/>
      <c r="H8" s="1233"/>
      <c r="I8" s="1233"/>
      <c r="J8" s="1233"/>
      <c r="K8" s="1233"/>
    </row>
    <row r="9" spans="2:12" ht="12.75">
      <c r="B9" s="1234" t="s">
        <v>413</v>
      </c>
      <c r="C9" s="1234"/>
      <c r="D9" s="1234"/>
      <c r="E9" s="1234"/>
      <c r="F9" s="1234"/>
      <c r="G9" s="1234"/>
      <c r="H9" s="1234"/>
      <c r="I9" s="1234"/>
      <c r="J9" s="1234"/>
      <c r="K9" s="1234"/>
      <c r="L9" s="1234"/>
    </row>
    <row r="10" spans="1:13" s="903" customFormat="1" ht="12.75" customHeight="1" thickBot="1">
      <c r="A10" s="1222" t="s">
        <v>661</v>
      </c>
      <c r="B10" s="1222" t="s">
        <v>414</v>
      </c>
      <c r="C10" s="1222" t="s">
        <v>662</v>
      </c>
      <c r="D10" s="1222" t="s">
        <v>417</v>
      </c>
      <c r="E10" s="1227" t="s">
        <v>763</v>
      </c>
      <c r="F10" s="1224" t="s">
        <v>663</v>
      </c>
      <c r="G10" s="1225"/>
      <c r="H10" s="1225"/>
      <c r="I10" s="1225"/>
      <c r="J10" s="1225"/>
      <c r="K10" s="1225"/>
      <c r="L10" s="1183" t="s">
        <v>664</v>
      </c>
      <c r="M10" s="1000"/>
    </row>
    <row r="11" spans="1:13" s="903" customFormat="1" ht="10.5" customHeight="1" thickBot="1">
      <c r="A11" s="1223"/>
      <c r="B11" s="1223"/>
      <c r="C11" s="1223"/>
      <c r="D11" s="1223"/>
      <c r="E11" s="1228"/>
      <c r="F11" s="1230" t="s">
        <v>740</v>
      </c>
      <c r="G11" s="1239" t="s">
        <v>276</v>
      </c>
      <c r="H11" s="1240"/>
      <c r="I11" s="1240"/>
      <c r="J11" s="1240"/>
      <c r="K11" s="1241"/>
      <c r="L11" s="1184"/>
      <c r="M11" s="1000"/>
    </row>
    <row r="12" spans="1:13" s="903" customFormat="1" ht="87" customHeight="1">
      <c r="A12" s="1223"/>
      <c r="B12" s="1223"/>
      <c r="C12" s="1223"/>
      <c r="D12" s="1223"/>
      <c r="E12" s="1228"/>
      <c r="F12" s="1231"/>
      <c r="G12" s="904" t="s">
        <v>667</v>
      </c>
      <c r="H12" s="905" t="s">
        <v>18</v>
      </c>
      <c r="I12" s="1226" t="s">
        <v>764</v>
      </c>
      <c r="J12" s="1226"/>
      <c r="K12" s="902" t="s">
        <v>765</v>
      </c>
      <c r="L12" s="1185"/>
      <c r="M12" s="1000"/>
    </row>
    <row r="13" spans="1:13" s="912" customFormat="1" ht="8.25" customHeight="1">
      <c r="A13" s="906">
        <v>1</v>
      </c>
      <c r="B13" s="906">
        <v>2</v>
      </c>
      <c r="C13" s="906">
        <v>3</v>
      </c>
      <c r="D13" s="906">
        <v>4</v>
      </c>
      <c r="E13" s="907">
        <v>5</v>
      </c>
      <c r="F13" s="908">
        <v>6</v>
      </c>
      <c r="G13" s="909">
        <v>7</v>
      </c>
      <c r="H13" s="906">
        <v>8</v>
      </c>
      <c r="I13" s="1220">
        <v>9</v>
      </c>
      <c r="J13" s="1220"/>
      <c r="K13" s="910">
        <v>10</v>
      </c>
      <c r="L13" s="911">
        <v>11</v>
      </c>
      <c r="M13" s="1001"/>
    </row>
    <row r="14" spans="1:13" ht="12" customHeight="1">
      <c r="A14" s="913">
        <v>1</v>
      </c>
      <c r="B14" s="913">
        <v>400</v>
      </c>
      <c r="C14" s="913">
        <v>40002</v>
      </c>
      <c r="D14" s="913">
        <v>6050</v>
      </c>
      <c r="E14" s="1174" t="s">
        <v>766</v>
      </c>
      <c r="F14" s="1028">
        <f>SUM(G14:K14)+J15+J16+J17</f>
        <v>250000</v>
      </c>
      <c r="G14" s="1029">
        <v>250000</v>
      </c>
      <c r="H14" s="1030">
        <v>0</v>
      </c>
      <c r="I14" s="1031" t="s">
        <v>732</v>
      </c>
      <c r="J14" s="1032">
        <v>0</v>
      </c>
      <c r="K14" s="1033">
        <v>0</v>
      </c>
      <c r="L14" s="1147" t="s">
        <v>658</v>
      </c>
      <c r="M14" s="993">
        <v>-100000</v>
      </c>
    </row>
    <row r="15" spans="1:12" ht="12" customHeight="1">
      <c r="A15" s="914"/>
      <c r="B15" s="915"/>
      <c r="C15" s="915"/>
      <c r="D15" s="915"/>
      <c r="E15" s="1175"/>
      <c r="F15" s="1034"/>
      <c r="G15" s="1035"/>
      <c r="H15" s="1036"/>
      <c r="I15" s="1037" t="s">
        <v>733</v>
      </c>
      <c r="J15" s="1032">
        <v>0</v>
      </c>
      <c r="K15" s="1038"/>
      <c r="L15" s="1140"/>
    </row>
    <row r="16" spans="1:12" ht="12" customHeight="1">
      <c r="A16" s="914"/>
      <c r="B16" s="915"/>
      <c r="C16" s="915"/>
      <c r="D16" s="915"/>
      <c r="E16" s="1175"/>
      <c r="F16" s="1034"/>
      <c r="G16" s="1035"/>
      <c r="H16" s="1036"/>
      <c r="I16" s="1039" t="s">
        <v>734</v>
      </c>
      <c r="J16" s="1040">
        <v>0</v>
      </c>
      <c r="K16" s="1038"/>
      <c r="L16" s="1140"/>
    </row>
    <row r="17" spans="1:12" ht="12" customHeight="1">
      <c r="A17" s="914"/>
      <c r="B17" s="915"/>
      <c r="C17" s="915"/>
      <c r="D17" s="915"/>
      <c r="E17" s="1221"/>
      <c r="F17" s="1034"/>
      <c r="G17" s="1035"/>
      <c r="H17" s="1041"/>
      <c r="I17" s="1042" t="s">
        <v>735</v>
      </c>
      <c r="J17" s="1043">
        <v>0</v>
      </c>
      <c r="K17" s="1038"/>
      <c r="L17" s="1141"/>
    </row>
    <row r="18" spans="1:12" ht="12" customHeight="1">
      <c r="A18" s="1145">
        <v>2</v>
      </c>
      <c r="B18" s="1145">
        <v>600</v>
      </c>
      <c r="C18" s="1145">
        <v>60016</v>
      </c>
      <c r="D18" s="1168">
        <v>6050</v>
      </c>
      <c r="E18" s="1174" t="s">
        <v>356</v>
      </c>
      <c r="F18" s="1028">
        <f>SUM(G18:K18)+J19+J20+J21</f>
        <v>95000</v>
      </c>
      <c r="G18" s="1044">
        <v>95000</v>
      </c>
      <c r="H18" s="1045">
        <v>0</v>
      </c>
      <c r="I18" s="1046" t="s">
        <v>732</v>
      </c>
      <c r="J18" s="1047">
        <v>0</v>
      </c>
      <c r="K18" s="1048">
        <v>0</v>
      </c>
      <c r="L18" s="1147" t="s">
        <v>658</v>
      </c>
    </row>
    <row r="19" spans="1:12" ht="12" customHeight="1">
      <c r="A19" s="1145"/>
      <c r="B19" s="1145"/>
      <c r="C19" s="1145"/>
      <c r="D19" s="1168"/>
      <c r="E19" s="1175"/>
      <c r="F19" s="1034"/>
      <c r="G19" s="1049"/>
      <c r="H19" s="1050"/>
      <c r="I19" s="1051" t="s">
        <v>733</v>
      </c>
      <c r="J19" s="1047">
        <v>0</v>
      </c>
      <c r="K19" s="1052"/>
      <c r="L19" s="1140"/>
    </row>
    <row r="20" spans="1:12" ht="12" customHeight="1">
      <c r="A20" s="1145"/>
      <c r="B20" s="1145"/>
      <c r="C20" s="1145"/>
      <c r="D20" s="1168"/>
      <c r="E20" s="1175"/>
      <c r="F20" s="1034"/>
      <c r="G20" s="1049"/>
      <c r="H20" s="1050"/>
      <c r="I20" s="1051" t="s">
        <v>734</v>
      </c>
      <c r="J20" s="1032">
        <v>0</v>
      </c>
      <c r="K20" s="1052"/>
      <c r="L20" s="1140"/>
    </row>
    <row r="21" spans="1:12" ht="12" customHeight="1">
      <c r="A21" s="1138"/>
      <c r="B21" s="1138"/>
      <c r="C21" s="1138"/>
      <c r="D21" s="1229"/>
      <c r="E21" s="1176"/>
      <c r="F21" s="1034"/>
      <c r="G21" s="1049"/>
      <c r="H21" s="1050"/>
      <c r="I21" s="1042" t="s">
        <v>735</v>
      </c>
      <c r="J21" s="1043">
        <v>0</v>
      </c>
      <c r="K21" s="1038"/>
      <c r="L21" s="1141"/>
    </row>
    <row r="22" spans="1:12" ht="12" customHeight="1">
      <c r="A22" s="1145">
        <v>3</v>
      </c>
      <c r="B22" s="1145">
        <v>600</v>
      </c>
      <c r="C22" s="1145">
        <v>60016</v>
      </c>
      <c r="D22" s="1168">
        <v>6050</v>
      </c>
      <c r="E22" s="1178" t="s">
        <v>184</v>
      </c>
      <c r="F22" s="1053">
        <f>SUM(G22:K22)+J23+J24+J25</f>
        <v>15000</v>
      </c>
      <c r="G22" s="1044">
        <v>15000</v>
      </c>
      <c r="H22" s="1045">
        <v>0</v>
      </c>
      <c r="I22" s="1046" t="s">
        <v>732</v>
      </c>
      <c r="J22" s="1047">
        <v>0</v>
      </c>
      <c r="K22" s="1048">
        <v>0</v>
      </c>
      <c r="L22" s="1147" t="s">
        <v>658</v>
      </c>
    </row>
    <row r="23" spans="1:12" ht="12" customHeight="1">
      <c r="A23" s="1145"/>
      <c r="B23" s="1145"/>
      <c r="C23" s="1145"/>
      <c r="D23" s="1168"/>
      <c r="E23" s="1213"/>
      <c r="F23" s="1054"/>
      <c r="G23" s="1049"/>
      <c r="H23" s="1050"/>
      <c r="I23" s="1051" t="s">
        <v>733</v>
      </c>
      <c r="J23" s="1047">
        <v>0</v>
      </c>
      <c r="K23" s="1052"/>
      <c r="L23" s="1140"/>
    </row>
    <row r="24" spans="1:12" ht="12" customHeight="1">
      <c r="A24" s="1145"/>
      <c r="B24" s="1145"/>
      <c r="C24" s="1145"/>
      <c r="D24" s="1168"/>
      <c r="E24" s="1213"/>
      <c r="F24" s="1054"/>
      <c r="G24" s="1049"/>
      <c r="H24" s="1050"/>
      <c r="I24" s="1051" t="s">
        <v>734</v>
      </c>
      <c r="J24" s="1032">
        <v>0</v>
      </c>
      <c r="K24" s="1052"/>
      <c r="L24" s="1140"/>
    </row>
    <row r="25" spans="1:12" ht="12" customHeight="1">
      <c r="A25" s="1138"/>
      <c r="B25" s="1138"/>
      <c r="C25" s="1138"/>
      <c r="D25" s="1229"/>
      <c r="E25" s="1214"/>
      <c r="F25" s="1054"/>
      <c r="G25" s="1049"/>
      <c r="H25" s="1050"/>
      <c r="I25" s="1042" t="s">
        <v>735</v>
      </c>
      <c r="J25" s="1043">
        <v>0</v>
      </c>
      <c r="K25" s="1038"/>
      <c r="L25" s="1141"/>
    </row>
    <row r="26" spans="1:13" ht="12" customHeight="1">
      <c r="A26" s="1145">
        <v>4</v>
      </c>
      <c r="B26" s="1145">
        <v>600</v>
      </c>
      <c r="C26" s="1145">
        <v>60016</v>
      </c>
      <c r="D26" s="1168">
        <v>6050</v>
      </c>
      <c r="E26" s="1178" t="s">
        <v>688</v>
      </c>
      <c r="F26" s="1053">
        <f>SUM(G26:K26)+J27+J28+J29</f>
        <v>5000</v>
      </c>
      <c r="G26" s="1044">
        <v>5000</v>
      </c>
      <c r="H26" s="1045">
        <v>0</v>
      </c>
      <c r="I26" s="1046" t="s">
        <v>732</v>
      </c>
      <c r="J26" s="1047">
        <v>0</v>
      </c>
      <c r="K26" s="1048">
        <v>0</v>
      </c>
      <c r="L26" s="1147" t="s">
        <v>658</v>
      </c>
      <c r="M26" s="993">
        <v>-60000</v>
      </c>
    </row>
    <row r="27" spans="1:12" ht="12" customHeight="1">
      <c r="A27" s="1145"/>
      <c r="B27" s="1145"/>
      <c r="C27" s="1145"/>
      <c r="D27" s="1168"/>
      <c r="E27" s="1213"/>
      <c r="F27" s="1054"/>
      <c r="G27" s="1049"/>
      <c r="H27" s="1050"/>
      <c r="I27" s="1051" t="s">
        <v>733</v>
      </c>
      <c r="J27" s="1047">
        <v>0</v>
      </c>
      <c r="K27" s="1052"/>
      <c r="L27" s="1140"/>
    </row>
    <row r="28" spans="1:12" ht="12" customHeight="1">
      <c r="A28" s="1145"/>
      <c r="B28" s="1145"/>
      <c r="C28" s="1145"/>
      <c r="D28" s="1168"/>
      <c r="E28" s="1213"/>
      <c r="F28" s="1054"/>
      <c r="G28" s="1049"/>
      <c r="H28" s="1050"/>
      <c r="I28" s="1051" t="s">
        <v>734</v>
      </c>
      <c r="J28" s="1032">
        <v>0</v>
      </c>
      <c r="K28" s="1052"/>
      <c r="L28" s="1140"/>
    </row>
    <row r="29" spans="1:13" ht="12" customHeight="1">
      <c r="A29" s="1138"/>
      <c r="B29" s="1138"/>
      <c r="C29" s="1138"/>
      <c r="D29" s="1229"/>
      <c r="E29" s="1214"/>
      <c r="F29" s="1054"/>
      <c r="G29" s="1049"/>
      <c r="H29" s="1050"/>
      <c r="I29" s="1042" t="s">
        <v>735</v>
      </c>
      <c r="J29" s="1043">
        <v>0</v>
      </c>
      <c r="K29" s="1038"/>
      <c r="L29" s="1141"/>
      <c r="M29" s="993">
        <v>-2000</v>
      </c>
    </row>
    <row r="30" spans="1:13" ht="12" customHeight="1">
      <c r="A30" s="916">
        <v>5</v>
      </c>
      <c r="B30" s="1137">
        <v>700</v>
      </c>
      <c r="C30" s="1137">
        <v>70005</v>
      </c>
      <c r="D30" s="1236">
        <v>6050</v>
      </c>
      <c r="E30" s="1142" t="s">
        <v>525</v>
      </c>
      <c r="F30" s="1059">
        <f>SUM(G30:K30)+J31+J32+J33</f>
        <v>1000</v>
      </c>
      <c r="G30" s="1060">
        <v>1000</v>
      </c>
      <c r="H30" s="1061">
        <v>0</v>
      </c>
      <c r="I30" s="1062" t="s">
        <v>732</v>
      </c>
      <c r="J30" s="1063">
        <v>0</v>
      </c>
      <c r="K30" s="1064">
        <v>0</v>
      </c>
      <c r="L30" s="1154" t="s">
        <v>658</v>
      </c>
      <c r="M30" s="993">
        <v>-95000</v>
      </c>
    </row>
    <row r="31" spans="1:12" ht="12" customHeight="1">
      <c r="A31" s="918"/>
      <c r="B31" s="1134"/>
      <c r="C31" s="1134"/>
      <c r="D31" s="1237"/>
      <c r="E31" s="1143"/>
      <c r="F31" s="1034"/>
      <c r="G31" s="1035"/>
      <c r="H31" s="1065"/>
      <c r="I31" s="1037" t="s">
        <v>733</v>
      </c>
      <c r="J31" s="1066">
        <v>0</v>
      </c>
      <c r="K31" s="1067"/>
      <c r="L31" s="1155"/>
    </row>
    <row r="32" spans="1:12" ht="12" customHeight="1">
      <c r="A32" s="918"/>
      <c r="B32" s="1134"/>
      <c r="C32" s="1134"/>
      <c r="D32" s="1237"/>
      <c r="E32" s="1143"/>
      <c r="F32" s="1034"/>
      <c r="G32" s="1035"/>
      <c r="H32" s="1065"/>
      <c r="I32" s="1037" t="s">
        <v>734</v>
      </c>
      <c r="J32" s="1047">
        <v>0</v>
      </c>
      <c r="K32" s="1067"/>
      <c r="L32" s="1155"/>
    </row>
    <row r="33" spans="1:12" ht="12" customHeight="1">
      <c r="A33" s="919"/>
      <c r="B33" s="1133"/>
      <c r="C33" s="1133"/>
      <c r="D33" s="1238"/>
      <c r="E33" s="1144"/>
      <c r="F33" s="1068"/>
      <c r="G33" s="1069"/>
      <c r="H33" s="1070"/>
      <c r="I33" s="1071" t="s">
        <v>735</v>
      </c>
      <c r="J33" s="1072">
        <v>0</v>
      </c>
      <c r="K33" s="1073"/>
      <c r="L33" s="1156"/>
    </row>
    <row r="34" spans="1:13" ht="12" customHeight="1">
      <c r="A34" s="1204">
        <v>6</v>
      </c>
      <c r="B34" s="1167">
        <v>700</v>
      </c>
      <c r="C34" s="1167">
        <v>70005</v>
      </c>
      <c r="D34" s="1167">
        <v>6060</v>
      </c>
      <c r="E34" s="1210" t="s">
        <v>767</v>
      </c>
      <c r="F34" s="1059">
        <f>SUM(G34:K34)+J35+J36+J37</f>
        <v>245495</v>
      </c>
      <c r="G34" s="1060">
        <v>245495</v>
      </c>
      <c r="H34" s="1061">
        <v>0</v>
      </c>
      <c r="I34" s="1062" t="s">
        <v>732</v>
      </c>
      <c r="J34" s="1063">
        <v>0</v>
      </c>
      <c r="K34" s="1074">
        <v>0</v>
      </c>
      <c r="L34" s="1154" t="s">
        <v>658</v>
      </c>
      <c r="M34" s="993">
        <v>5495</v>
      </c>
    </row>
    <row r="35" spans="1:12" ht="12" customHeight="1">
      <c r="A35" s="1205"/>
      <c r="B35" s="1168"/>
      <c r="C35" s="1168"/>
      <c r="D35" s="1168"/>
      <c r="E35" s="1211"/>
      <c r="F35" s="1034"/>
      <c r="G35" s="1035"/>
      <c r="H35" s="1065"/>
      <c r="I35" s="1037" t="s">
        <v>733</v>
      </c>
      <c r="J35" s="1032">
        <v>0</v>
      </c>
      <c r="K35" s="1067"/>
      <c r="L35" s="1155"/>
    </row>
    <row r="36" spans="1:12" ht="12" customHeight="1">
      <c r="A36" s="1205"/>
      <c r="B36" s="1168"/>
      <c r="C36" s="1168"/>
      <c r="D36" s="1168"/>
      <c r="E36" s="1211"/>
      <c r="F36" s="1034"/>
      <c r="G36" s="1035"/>
      <c r="H36" s="1065"/>
      <c r="I36" s="1037" t="s">
        <v>734</v>
      </c>
      <c r="J36" s="1032">
        <v>0</v>
      </c>
      <c r="K36" s="1067"/>
      <c r="L36" s="1155"/>
    </row>
    <row r="37" spans="1:12" ht="12" customHeight="1">
      <c r="A37" s="1203"/>
      <c r="B37" s="1146"/>
      <c r="C37" s="1146"/>
      <c r="D37" s="1146"/>
      <c r="E37" s="1212"/>
      <c r="F37" s="1068"/>
      <c r="G37" s="1069"/>
      <c r="H37" s="1070"/>
      <c r="I37" s="1071" t="s">
        <v>735</v>
      </c>
      <c r="J37" s="1075">
        <v>0</v>
      </c>
      <c r="K37" s="1073"/>
      <c r="L37" s="1156"/>
    </row>
    <row r="38" spans="1:12" ht="12" customHeight="1">
      <c r="A38" s="1204">
        <v>7</v>
      </c>
      <c r="B38" s="1167">
        <v>700</v>
      </c>
      <c r="C38" s="1167">
        <v>70005</v>
      </c>
      <c r="D38" s="1167">
        <v>6060</v>
      </c>
      <c r="E38" s="1139" t="s">
        <v>770</v>
      </c>
      <c r="F38" s="1076">
        <f>SUM(G38:K38)+J39+J40+J41</f>
        <v>100000</v>
      </c>
      <c r="G38" s="1060">
        <f>UM!G61</f>
        <v>100000</v>
      </c>
      <c r="H38" s="1061">
        <v>0</v>
      </c>
      <c r="I38" s="1062" t="s">
        <v>732</v>
      </c>
      <c r="J38" s="1063">
        <v>0</v>
      </c>
      <c r="K38" s="1074">
        <v>0</v>
      </c>
      <c r="L38" s="1154" t="s">
        <v>658</v>
      </c>
    </row>
    <row r="39" spans="1:12" ht="12" customHeight="1">
      <c r="A39" s="1205"/>
      <c r="B39" s="1168"/>
      <c r="C39" s="1168"/>
      <c r="D39" s="1168"/>
      <c r="E39" s="1135"/>
      <c r="F39" s="1054"/>
      <c r="G39" s="1035"/>
      <c r="H39" s="1065"/>
      <c r="I39" s="1037" t="s">
        <v>733</v>
      </c>
      <c r="J39" s="1032">
        <v>0</v>
      </c>
      <c r="K39" s="1067"/>
      <c r="L39" s="1155"/>
    </row>
    <row r="40" spans="1:12" ht="12" customHeight="1">
      <c r="A40" s="1205"/>
      <c r="B40" s="1168"/>
      <c r="C40" s="1168"/>
      <c r="D40" s="1168"/>
      <c r="E40" s="1135"/>
      <c r="F40" s="1054"/>
      <c r="G40" s="1035"/>
      <c r="H40" s="1065"/>
      <c r="I40" s="1037" t="s">
        <v>734</v>
      </c>
      <c r="J40" s="1032">
        <v>0</v>
      </c>
      <c r="K40" s="1067"/>
      <c r="L40" s="1155"/>
    </row>
    <row r="41" spans="1:12" ht="12" customHeight="1">
      <c r="A41" s="1203"/>
      <c r="B41" s="1146"/>
      <c r="C41" s="1146"/>
      <c r="D41" s="1146"/>
      <c r="E41" s="1136"/>
      <c r="F41" s="1055"/>
      <c r="G41" s="1069"/>
      <c r="H41" s="1070"/>
      <c r="I41" s="1071" t="s">
        <v>735</v>
      </c>
      <c r="J41" s="1075">
        <v>0</v>
      </c>
      <c r="K41" s="1073"/>
      <c r="L41" s="1156"/>
    </row>
    <row r="42" spans="1:12" ht="16.5" customHeight="1">
      <c r="A42" s="916">
        <v>8</v>
      </c>
      <c r="B42" s="1167">
        <v>750</v>
      </c>
      <c r="C42" s="1129">
        <v>75023</v>
      </c>
      <c r="D42" s="1148">
        <v>6050</v>
      </c>
      <c r="E42" s="1142" t="s">
        <v>375</v>
      </c>
      <c r="F42" s="1059">
        <f>SUM(G42:K42)+J43+J44+J45</f>
        <v>2500</v>
      </c>
      <c r="G42" s="1060">
        <v>2500</v>
      </c>
      <c r="H42" s="1061">
        <v>0</v>
      </c>
      <c r="I42" s="1062" t="s">
        <v>732</v>
      </c>
      <c r="J42" s="1077">
        <v>0</v>
      </c>
      <c r="K42" s="1074">
        <v>0</v>
      </c>
      <c r="L42" s="1154" t="s">
        <v>658</v>
      </c>
    </row>
    <row r="43" spans="1:12" ht="16.5" customHeight="1">
      <c r="A43" s="918"/>
      <c r="B43" s="1128"/>
      <c r="C43" s="1130"/>
      <c r="D43" s="1132"/>
      <c r="E43" s="1143"/>
      <c r="F43" s="1034"/>
      <c r="G43" s="1035"/>
      <c r="H43" s="1065"/>
      <c r="I43" s="1037" t="s">
        <v>733</v>
      </c>
      <c r="J43" s="1047">
        <v>0</v>
      </c>
      <c r="K43" s="1067"/>
      <c r="L43" s="1155"/>
    </row>
    <row r="44" spans="1:12" ht="16.5" customHeight="1">
      <c r="A44" s="918"/>
      <c r="B44" s="1128"/>
      <c r="C44" s="1130"/>
      <c r="D44" s="1132"/>
      <c r="E44" s="1143"/>
      <c r="F44" s="1034"/>
      <c r="G44" s="1035"/>
      <c r="H44" s="1065"/>
      <c r="I44" s="1037" t="s">
        <v>734</v>
      </c>
      <c r="J44" s="1078">
        <v>0</v>
      </c>
      <c r="K44" s="1067"/>
      <c r="L44" s="1155"/>
    </row>
    <row r="45" spans="1:12" ht="16.5" customHeight="1">
      <c r="A45" s="919"/>
      <c r="B45" s="1133"/>
      <c r="C45" s="1131"/>
      <c r="D45" s="1127"/>
      <c r="E45" s="1144"/>
      <c r="F45" s="1068"/>
      <c r="G45" s="1069"/>
      <c r="H45" s="1070"/>
      <c r="I45" s="1071" t="s">
        <v>735</v>
      </c>
      <c r="J45" s="1075">
        <v>0</v>
      </c>
      <c r="K45" s="1079"/>
      <c r="L45" s="1156"/>
    </row>
    <row r="46" spans="1:12" ht="12.75">
      <c r="A46" s="916">
        <v>9</v>
      </c>
      <c r="B46" s="1167">
        <v>750</v>
      </c>
      <c r="C46" s="1129">
        <v>75023</v>
      </c>
      <c r="D46" s="1148">
        <v>6059</v>
      </c>
      <c r="E46" s="1142" t="s">
        <v>502</v>
      </c>
      <c r="F46" s="1059">
        <f>SUM(G46:K46)+J47+J48+J49</f>
        <v>22500</v>
      </c>
      <c r="G46" s="1060">
        <v>22500</v>
      </c>
      <c r="H46" s="1061">
        <v>0</v>
      </c>
      <c r="I46" s="1062" t="s">
        <v>732</v>
      </c>
      <c r="J46" s="1077">
        <v>0</v>
      </c>
      <c r="K46" s="1074">
        <v>0</v>
      </c>
      <c r="L46" s="1154" t="s">
        <v>658</v>
      </c>
    </row>
    <row r="47" spans="1:12" ht="12.75">
      <c r="A47" s="918"/>
      <c r="B47" s="1128"/>
      <c r="C47" s="1130"/>
      <c r="D47" s="1132"/>
      <c r="E47" s="1143"/>
      <c r="F47" s="1034"/>
      <c r="G47" s="1035"/>
      <c r="H47" s="1065"/>
      <c r="I47" s="1037" t="s">
        <v>733</v>
      </c>
      <c r="J47" s="1047">
        <v>0</v>
      </c>
      <c r="K47" s="1067"/>
      <c r="L47" s="1155"/>
    </row>
    <row r="48" spans="1:12" ht="12.75">
      <c r="A48" s="918"/>
      <c r="B48" s="1128"/>
      <c r="C48" s="1130"/>
      <c r="D48" s="1132"/>
      <c r="E48" s="1143"/>
      <c r="F48" s="1034"/>
      <c r="G48" s="1035"/>
      <c r="H48" s="1065"/>
      <c r="I48" s="1037" t="s">
        <v>734</v>
      </c>
      <c r="J48" s="1078">
        <v>0</v>
      </c>
      <c r="K48" s="1067"/>
      <c r="L48" s="1155"/>
    </row>
    <row r="49" spans="1:12" ht="12.75">
      <c r="A49" s="919"/>
      <c r="B49" s="1133"/>
      <c r="C49" s="1131"/>
      <c r="D49" s="1127"/>
      <c r="E49" s="1144"/>
      <c r="F49" s="1068"/>
      <c r="G49" s="1069"/>
      <c r="H49" s="1070"/>
      <c r="I49" s="1071" t="s">
        <v>735</v>
      </c>
      <c r="J49" s="1075">
        <v>0</v>
      </c>
      <c r="K49" s="1079"/>
      <c r="L49" s="1156"/>
    </row>
    <row r="50" spans="1:12" ht="12.75">
      <c r="A50" s="996">
        <v>10</v>
      </c>
      <c r="B50" s="1148">
        <v>750</v>
      </c>
      <c r="C50" s="1247">
        <v>75023</v>
      </c>
      <c r="D50" s="1148">
        <v>6050</v>
      </c>
      <c r="E50" s="1217" t="s">
        <v>374</v>
      </c>
      <c r="F50" s="1080">
        <f>SUM(G50:K50)+J51+J52+J53</f>
        <v>24000</v>
      </c>
      <c r="G50" s="1060">
        <v>24000</v>
      </c>
      <c r="H50" s="1061">
        <v>0</v>
      </c>
      <c r="I50" s="1062" t="s">
        <v>732</v>
      </c>
      <c r="J50" s="1077">
        <v>0</v>
      </c>
      <c r="K50" s="1074">
        <v>0</v>
      </c>
      <c r="L50" s="1154" t="s">
        <v>658</v>
      </c>
    </row>
    <row r="51" spans="1:12" ht="12.75">
      <c r="A51" s="997"/>
      <c r="B51" s="1132"/>
      <c r="C51" s="1248"/>
      <c r="D51" s="1132"/>
      <c r="E51" s="1218"/>
      <c r="F51" s="1081"/>
      <c r="G51" s="1035"/>
      <c r="H51" s="1065"/>
      <c r="I51" s="1037" t="s">
        <v>733</v>
      </c>
      <c r="J51" s="1047">
        <v>0</v>
      </c>
      <c r="K51" s="1067"/>
      <c r="L51" s="1155"/>
    </row>
    <row r="52" spans="1:12" ht="12.75">
      <c r="A52" s="997"/>
      <c r="B52" s="1132"/>
      <c r="C52" s="1248"/>
      <c r="D52" s="1132"/>
      <c r="E52" s="1218"/>
      <c r="F52" s="1081"/>
      <c r="G52" s="1035"/>
      <c r="H52" s="1065"/>
      <c r="I52" s="1037" t="s">
        <v>734</v>
      </c>
      <c r="J52" s="1078">
        <v>0</v>
      </c>
      <c r="K52" s="1067"/>
      <c r="L52" s="1155"/>
    </row>
    <row r="53" spans="1:13" ht="12.75">
      <c r="A53" s="998"/>
      <c r="B53" s="1127"/>
      <c r="C53" s="1249"/>
      <c r="D53" s="1127"/>
      <c r="E53" s="1219"/>
      <c r="F53" s="1082"/>
      <c r="G53" s="1069"/>
      <c r="H53" s="1070"/>
      <c r="I53" s="1071" t="s">
        <v>735</v>
      </c>
      <c r="J53" s="1075">
        <v>0</v>
      </c>
      <c r="K53" s="1079"/>
      <c r="L53" s="1156"/>
      <c r="M53" s="993">
        <v>-20000</v>
      </c>
    </row>
    <row r="54" spans="1:13" s="925" customFormat="1" ht="12" customHeight="1">
      <c r="A54" s="922">
        <v>11</v>
      </c>
      <c r="B54" s="923" t="s">
        <v>582</v>
      </c>
      <c r="C54" s="924">
        <v>75412</v>
      </c>
      <c r="D54" s="1165">
        <v>6060</v>
      </c>
      <c r="E54" s="1157" t="s">
        <v>308</v>
      </c>
      <c r="F54" s="1081">
        <f>SUM(G54:K54)+J55+J56+J57</f>
        <v>80000</v>
      </c>
      <c r="G54" s="1035">
        <v>0</v>
      </c>
      <c r="H54" s="1065">
        <v>0</v>
      </c>
      <c r="I54" s="1083" t="s">
        <v>732</v>
      </c>
      <c r="J54" s="1084">
        <v>0</v>
      </c>
      <c r="K54" s="1085">
        <v>0</v>
      </c>
      <c r="L54" s="1159" t="s">
        <v>658</v>
      </c>
      <c r="M54" s="993"/>
    </row>
    <row r="55" spans="1:13" s="925" customFormat="1" ht="12" customHeight="1">
      <c r="A55" s="922"/>
      <c r="B55" s="926"/>
      <c r="C55" s="926"/>
      <c r="D55" s="1165"/>
      <c r="E55" s="1157"/>
      <c r="F55" s="1081"/>
      <c r="G55" s="1035"/>
      <c r="H55" s="1065"/>
      <c r="I55" s="1086" t="s">
        <v>733</v>
      </c>
      <c r="J55" s="1087">
        <v>80000</v>
      </c>
      <c r="K55" s="1085"/>
      <c r="L55" s="1160"/>
      <c r="M55" s="993"/>
    </row>
    <row r="56" spans="1:13" s="925" customFormat="1" ht="12" customHeight="1">
      <c r="A56" s="922"/>
      <c r="B56" s="926"/>
      <c r="C56" s="926"/>
      <c r="D56" s="1165"/>
      <c r="E56" s="1157"/>
      <c r="F56" s="1081"/>
      <c r="G56" s="1035"/>
      <c r="H56" s="1065"/>
      <c r="I56" s="1086" t="s">
        <v>734</v>
      </c>
      <c r="J56" s="1088">
        <v>0</v>
      </c>
      <c r="K56" s="1085"/>
      <c r="L56" s="1160"/>
      <c r="M56" s="993"/>
    </row>
    <row r="57" spans="1:13" s="925" customFormat="1" ht="12" customHeight="1">
      <c r="A57" s="927"/>
      <c r="B57" s="928"/>
      <c r="C57" s="928"/>
      <c r="D57" s="1166"/>
      <c r="E57" s="1158"/>
      <c r="F57" s="1082"/>
      <c r="G57" s="1069"/>
      <c r="H57" s="1070"/>
      <c r="I57" s="1089" t="s">
        <v>735</v>
      </c>
      <c r="J57" s="1090">
        <v>0</v>
      </c>
      <c r="K57" s="1091"/>
      <c r="L57" s="1161"/>
      <c r="M57" s="993"/>
    </row>
    <row r="58" spans="1:13" s="925" customFormat="1" ht="12" customHeight="1">
      <c r="A58" s="922">
        <v>12</v>
      </c>
      <c r="B58" s="923" t="s">
        <v>582</v>
      </c>
      <c r="C58" s="924">
        <v>75412</v>
      </c>
      <c r="D58" s="1165">
        <v>6060</v>
      </c>
      <c r="E58" s="1157" t="s">
        <v>373</v>
      </c>
      <c r="F58" s="1081">
        <f>SUM(G58:K58)+J59+J60+J61</f>
        <v>13500</v>
      </c>
      <c r="G58" s="1035">
        <v>13500</v>
      </c>
      <c r="H58" s="1065">
        <v>0</v>
      </c>
      <c r="I58" s="1083" t="s">
        <v>732</v>
      </c>
      <c r="J58" s="1084">
        <v>0</v>
      </c>
      <c r="K58" s="1085">
        <v>0</v>
      </c>
      <c r="L58" s="1159" t="s">
        <v>658</v>
      </c>
      <c r="M58" s="993"/>
    </row>
    <row r="59" spans="1:13" s="925" customFormat="1" ht="12" customHeight="1">
      <c r="A59" s="922"/>
      <c r="B59" s="926"/>
      <c r="C59" s="926"/>
      <c r="D59" s="1165"/>
      <c r="E59" s="1157"/>
      <c r="F59" s="1081"/>
      <c r="G59" s="1035"/>
      <c r="H59" s="1065"/>
      <c r="I59" s="1086" t="s">
        <v>733</v>
      </c>
      <c r="J59" s="1087">
        <v>0</v>
      </c>
      <c r="K59" s="1085"/>
      <c r="L59" s="1160"/>
      <c r="M59" s="993"/>
    </row>
    <row r="60" spans="1:13" s="925" customFormat="1" ht="12" customHeight="1">
      <c r="A60" s="922"/>
      <c r="B60" s="926"/>
      <c r="C60" s="926"/>
      <c r="D60" s="1165"/>
      <c r="E60" s="1157"/>
      <c r="F60" s="1081"/>
      <c r="G60" s="1035"/>
      <c r="H60" s="1065"/>
      <c r="I60" s="1086" t="s">
        <v>734</v>
      </c>
      <c r="J60" s="1088">
        <v>0</v>
      </c>
      <c r="K60" s="1085"/>
      <c r="L60" s="1160"/>
      <c r="M60" s="993"/>
    </row>
    <row r="61" spans="1:13" s="925" customFormat="1" ht="12" customHeight="1">
      <c r="A61" s="927"/>
      <c r="B61" s="928"/>
      <c r="C61" s="928"/>
      <c r="D61" s="1166"/>
      <c r="E61" s="1158"/>
      <c r="F61" s="1082"/>
      <c r="G61" s="1069"/>
      <c r="H61" s="1070"/>
      <c r="I61" s="1089" t="s">
        <v>735</v>
      </c>
      <c r="J61" s="1090">
        <v>0</v>
      </c>
      <c r="K61" s="1091"/>
      <c r="L61" s="1161"/>
      <c r="M61" s="993"/>
    </row>
    <row r="62" spans="1:13" s="925" customFormat="1" ht="12" customHeight="1">
      <c r="A62" s="922">
        <v>13</v>
      </c>
      <c r="B62" s="923" t="s">
        <v>582</v>
      </c>
      <c r="C62" s="924">
        <v>75412</v>
      </c>
      <c r="D62" s="1165">
        <v>6060</v>
      </c>
      <c r="E62" s="1157" t="s">
        <v>159</v>
      </c>
      <c r="F62" s="1081">
        <f>SUM(G62:K62)+J63+J64+J65</f>
        <v>7933.5</v>
      </c>
      <c r="G62" s="1035">
        <v>7933.5</v>
      </c>
      <c r="H62" s="1065">
        <v>0</v>
      </c>
      <c r="I62" s="1083" t="s">
        <v>732</v>
      </c>
      <c r="J62" s="1084">
        <v>0</v>
      </c>
      <c r="K62" s="1085">
        <v>0</v>
      </c>
      <c r="L62" s="1159" t="s">
        <v>658</v>
      </c>
      <c r="M62" s="993"/>
    </row>
    <row r="63" spans="1:13" s="925" customFormat="1" ht="12" customHeight="1">
      <c r="A63" s="922"/>
      <c r="B63" s="926"/>
      <c r="C63" s="926"/>
      <c r="D63" s="1165"/>
      <c r="E63" s="1157"/>
      <c r="F63" s="1081"/>
      <c r="G63" s="1035"/>
      <c r="H63" s="1065"/>
      <c r="I63" s="1086" t="s">
        <v>733</v>
      </c>
      <c r="J63" s="1087">
        <v>0</v>
      </c>
      <c r="K63" s="1085"/>
      <c r="L63" s="1160"/>
      <c r="M63" s="993"/>
    </row>
    <row r="64" spans="1:13" s="925" customFormat="1" ht="12" customHeight="1">
      <c r="A64" s="922"/>
      <c r="B64" s="926"/>
      <c r="C64" s="926"/>
      <c r="D64" s="1165"/>
      <c r="E64" s="1157"/>
      <c r="F64" s="1081"/>
      <c r="G64" s="1035"/>
      <c r="H64" s="1065"/>
      <c r="I64" s="1086" t="s">
        <v>734</v>
      </c>
      <c r="J64" s="1088">
        <v>0</v>
      </c>
      <c r="K64" s="1085"/>
      <c r="L64" s="1160"/>
      <c r="M64" s="993"/>
    </row>
    <row r="65" spans="1:13" s="925" customFormat="1" ht="12" customHeight="1">
      <c r="A65" s="927"/>
      <c r="B65" s="928"/>
      <c r="C65" s="928"/>
      <c r="D65" s="1166"/>
      <c r="E65" s="1158"/>
      <c r="F65" s="1082"/>
      <c r="G65" s="1069"/>
      <c r="H65" s="1070"/>
      <c r="I65" s="1089" t="s">
        <v>735</v>
      </c>
      <c r="J65" s="1090">
        <v>0</v>
      </c>
      <c r="K65" s="1091"/>
      <c r="L65" s="1161"/>
      <c r="M65" s="993"/>
    </row>
    <row r="66" spans="1:13" s="925" customFormat="1" ht="12" customHeight="1">
      <c r="A66" s="1244">
        <v>14</v>
      </c>
      <c r="B66" s="1148">
        <v>801</v>
      </c>
      <c r="C66" s="1148">
        <v>80101</v>
      </c>
      <c r="D66" s="1148">
        <v>6050</v>
      </c>
      <c r="E66" s="1162" t="s">
        <v>534</v>
      </c>
      <c r="F66" s="1080">
        <f>SUM(G66:K66)+J67+J68+J69</f>
        <v>9840</v>
      </c>
      <c r="G66" s="1060">
        <v>9840</v>
      </c>
      <c r="H66" s="1092">
        <v>0</v>
      </c>
      <c r="I66" s="1062" t="s">
        <v>732</v>
      </c>
      <c r="J66" s="1093">
        <v>0</v>
      </c>
      <c r="K66" s="1094">
        <v>0</v>
      </c>
      <c r="L66" s="1154" t="s">
        <v>658</v>
      </c>
      <c r="M66" s="993"/>
    </row>
    <row r="67" spans="1:13" s="925" customFormat="1" ht="12" customHeight="1">
      <c r="A67" s="1245"/>
      <c r="B67" s="1149"/>
      <c r="C67" s="1149"/>
      <c r="D67" s="1149"/>
      <c r="E67" s="1163"/>
      <c r="F67" s="1081"/>
      <c r="G67" s="1035"/>
      <c r="H67" s="1050"/>
      <c r="I67" s="1037" t="s">
        <v>733</v>
      </c>
      <c r="J67" s="1047">
        <v>0</v>
      </c>
      <c r="K67" s="1052"/>
      <c r="L67" s="1155"/>
      <c r="M67" s="993"/>
    </row>
    <row r="68" spans="1:13" s="925" customFormat="1" ht="12" customHeight="1">
      <c r="A68" s="1245"/>
      <c r="B68" s="1149"/>
      <c r="C68" s="1149"/>
      <c r="D68" s="1149"/>
      <c r="E68" s="1163"/>
      <c r="F68" s="1081"/>
      <c r="G68" s="1035"/>
      <c r="H68" s="1050"/>
      <c r="I68" s="1037" t="s">
        <v>734</v>
      </c>
      <c r="J68" s="1047">
        <v>0</v>
      </c>
      <c r="K68" s="1052"/>
      <c r="L68" s="1155"/>
      <c r="M68" s="993"/>
    </row>
    <row r="69" spans="1:13" s="925" customFormat="1" ht="12" customHeight="1">
      <c r="A69" s="1246"/>
      <c r="B69" s="1150"/>
      <c r="C69" s="1150"/>
      <c r="D69" s="1150"/>
      <c r="E69" s="1164"/>
      <c r="F69" s="1082"/>
      <c r="G69" s="1069"/>
      <c r="H69" s="1056"/>
      <c r="I69" s="1071" t="s">
        <v>735</v>
      </c>
      <c r="J69" s="1095">
        <v>0</v>
      </c>
      <c r="K69" s="1096"/>
      <c r="L69" s="1156"/>
      <c r="M69" s="993"/>
    </row>
    <row r="70" spans="1:13" s="925" customFormat="1" ht="12" customHeight="1">
      <c r="A70" s="1244">
        <v>15</v>
      </c>
      <c r="B70" s="1148">
        <v>801</v>
      </c>
      <c r="C70" s="1148">
        <v>80101</v>
      </c>
      <c r="D70" s="1148">
        <v>6050</v>
      </c>
      <c r="E70" s="1162" t="s">
        <v>503</v>
      </c>
      <c r="F70" s="1080">
        <f>SUM(G70:K70)+J71+J72+J73</f>
        <v>65000</v>
      </c>
      <c r="G70" s="1060">
        <v>65000</v>
      </c>
      <c r="H70" s="1092">
        <v>0</v>
      </c>
      <c r="I70" s="1062" t="s">
        <v>732</v>
      </c>
      <c r="J70" s="1093">
        <v>0</v>
      </c>
      <c r="K70" s="1094">
        <v>0</v>
      </c>
      <c r="L70" s="1154" t="s">
        <v>658</v>
      </c>
      <c r="M70" s="993"/>
    </row>
    <row r="71" spans="1:13" s="925" customFormat="1" ht="12" customHeight="1">
      <c r="A71" s="1245"/>
      <c r="B71" s="1149"/>
      <c r="C71" s="1149"/>
      <c r="D71" s="1149"/>
      <c r="E71" s="1163"/>
      <c r="F71" s="1081"/>
      <c r="G71" s="1035"/>
      <c r="H71" s="1050"/>
      <c r="I71" s="1037" t="s">
        <v>733</v>
      </c>
      <c r="J71" s="1047">
        <v>0</v>
      </c>
      <c r="K71" s="1052"/>
      <c r="L71" s="1155"/>
      <c r="M71" s="993"/>
    </row>
    <row r="72" spans="1:13" s="925" customFormat="1" ht="12" customHeight="1">
      <c r="A72" s="1245"/>
      <c r="B72" s="1149"/>
      <c r="C72" s="1149"/>
      <c r="D72" s="1149"/>
      <c r="E72" s="1163"/>
      <c r="F72" s="1081"/>
      <c r="G72" s="1035"/>
      <c r="H72" s="1050"/>
      <c r="I72" s="1037" t="s">
        <v>734</v>
      </c>
      <c r="J72" s="1047">
        <v>0</v>
      </c>
      <c r="K72" s="1052"/>
      <c r="L72" s="1155"/>
      <c r="M72" s="993"/>
    </row>
    <row r="73" spans="1:13" s="925" customFormat="1" ht="12" customHeight="1">
      <c r="A73" s="1246"/>
      <c r="B73" s="1150"/>
      <c r="C73" s="1150"/>
      <c r="D73" s="1150"/>
      <c r="E73" s="1164"/>
      <c r="F73" s="1082"/>
      <c r="G73" s="1069"/>
      <c r="H73" s="1056"/>
      <c r="I73" s="1071" t="s">
        <v>735</v>
      </c>
      <c r="J73" s="1095">
        <v>0</v>
      </c>
      <c r="K73" s="1096"/>
      <c r="L73" s="1156"/>
      <c r="M73" s="993">
        <v>-613000</v>
      </c>
    </row>
    <row r="74" spans="1:13" s="925" customFormat="1" ht="12" customHeight="1">
      <c r="A74" s="929">
        <v>16</v>
      </c>
      <c r="B74" s="1215">
        <v>851</v>
      </c>
      <c r="C74" s="1216">
        <v>85154</v>
      </c>
      <c r="D74" s="1216">
        <v>6060</v>
      </c>
      <c r="E74" s="1151" t="s">
        <v>372</v>
      </c>
      <c r="F74" s="1076">
        <f>SUM(G74:K74)+J75+J76+J77</f>
        <v>72000</v>
      </c>
      <c r="G74" s="1060">
        <v>72000</v>
      </c>
      <c r="H74" s="1092">
        <v>0</v>
      </c>
      <c r="I74" s="1062" t="s">
        <v>732</v>
      </c>
      <c r="J74" s="1077">
        <v>0</v>
      </c>
      <c r="K74" s="1094">
        <v>0</v>
      </c>
      <c r="L74" s="1154" t="s">
        <v>658</v>
      </c>
      <c r="M74" s="993">
        <v>-15000</v>
      </c>
    </row>
    <row r="75" spans="1:13" s="925" customFormat="1" ht="12" customHeight="1">
      <c r="A75" s="930"/>
      <c r="B75" s="1215"/>
      <c r="C75" s="1216"/>
      <c r="D75" s="1216"/>
      <c r="E75" s="1152"/>
      <c r="F75" s="1097"/>
      <c r="G75" s="1035"/>
      <c r="H75" s="1050"/>
      <c r="I75" s="1037" t="s">
        <v>733</v>
      </c>
      <c r="J75" s="1047">
        <v>0</v>
      </c>
      <c r="K75" s="1052"/>
      <c r="L75" s="1155"/>
      <c r="M75" s="993">
        <v>-235000</v>
      </c>
    </row>
    <row r="76" spans="1:13" s="925" customFormat="1" ht="12" customHeight="1">
      <c r="A76" s="930"/>
      <c r="B76" s="1215"/>
      <c r="C76" s="1216"/>
      <c r="D76" s="1216"/>
      <c r="E76" s="1152"/>
      <c r="F76" s="1097"/>
      <c r="G76" s="1035"/>
      <c r="H76" s="1050"/>
      <c r="I76" s="1037" t="s">
        <v>734</v>
      </c>
      <c r="J76" s="1047">
        <v>0</v>
      </c>
      <c r="K76" s="1052"/>
      <c r="L76" s="1155"/>
      <c r="M76" s="993"/>
    </row>
    <row r="77" spans="1:13" s="925" customFormat="1" ht="12" customHeight="1">
      <c r="A77" s="931"/>
      <c r="B77" s="1215"/>
      <c r="C77" s="1216"/>
      <c r="D77" s="1216"/>
      <c r="E77" s="1153"/>
      <c r="F77" s="1098"/>
      <c r="G77" s="1069"/>
      <c r="H77" s="1056"/>
      <c r="I77" s="1071" t="s">
        <v>735</v>
      </c>
      <c r="J77" s="1095">
        <v>0</v>
      </c>
      <c r="K77" s="1096"/>
      <c r="L77" s="1156"/>
      <c r="M77" s="993">
        <v>-9500</v>
      </c>
    </row>
    <row r="78" spans="1:13" ht="12" customHeight="1">
      <c r="A78" s="1204">
        <v>17</v>
      </c>
      <c r="B78" s="1167">
        <v>900</v>
      </c>
      <c r="C78" s="1167">
        <v>90001</v>
      </c>
      <c r="D78" s="1129">
        <v>6050</v>
      </c>
      <c r="E78" s="1142" t="s">
        <v>345</v>
      </c>
      <c r="F78" s="1059">
        <f>SUM(G78:K78)+J79+J80+J81</f>
        <v>10000</v>
      </c>
      <c r="G78" s="1060">
        <v>10000</v>
      </c>
      <c r="H78" s="1061">
        <v>0</v>
      </c>
      <c r="I78" s="1062" t="s">
        <v>732</v>
      </c>
      <c r="J78" s="1077">
        <v>0</v>
      </c>
      <c r="K78" s="1094">
        <v>0</v>
      </c>
      <c r="L78" s="1154" t="s">
        <v>658</v>
      </c>
      <c r="M78" s="993">
        <v>-110000</v>
      </c>
    </row>
    <row r="79" spans="1:12" ht="12" customHeight="1">
      <c r="A79" s="1205"/>
      <c r="B79" s="1168"/>
      <c r="C79" s="1168"/>
      <c r="D79" s="1145"/>
      <c r="E79" s="1143"/>
      <c r="F79" s="1034"/>
      <c r="G79" s="1035"/>
      <c r="H79" s="1065"/>
      <c r="I79" s="1037" t="s">
        <v>733</v>
      </c>
      <c r="J79" s="1047">
        <v>0</v>
      </c>
      <c r="K79" s="1052"/>
      <c r="L79" s="1155"/>
    </row>
    <row r="80" spans="1:12" ht="12" customHeight="1">
      <c r="A80" s="1205"/>
      <c r="B80" s="1168"/>
      <c r="C80" s="1168"/>
      <c r="D80" s="1168"/>
      <c r="E80" s="1143"/>
      <c r="F80" s="1034"/>
      <c r="G80" s="1035"/>
      <c r="H80" s="1065"/>
      <c r="I80" s="1037" t="s">
        <v>734</v>
      </c>
      <c r="J80" s="1047">
        <v>0</v>
      </c>
      <c r="K80" s="1052"/>
      <c r="L80" s="1155"/>
    </row>
    <row r="81" spans="1:12" ht="12" customHeight="1">
      <c r="A81" s="1203"/>
      <c r="B81" s="1146"/>
      <c r="C81" s="1146"/>
      <c r="D81" s="1146"/>
      <c r="E81" s="1144"/>
      <c r="F81" s="1068"/>
      <c r="G81" s="1069"/>
      <c r="H81" s="1070"/>
      <c r="I81" s="1071" t="s">
        <v>735</v>
      </c>
      <c r="J81" s="1095">
        <v>0</v>
      </c>
      <c r="K81" s="1096"/>
      <c r="L81" s="1156"/>
    </row>
    <row r="82" spans="1:13" ht="12" customHeight="1">
      <c r="A82" s="1204">
        <v>18</v>
      </c>
      <c r="B82" s="1167">
        <v>900</v>
      </c>
      <c r="C82" s="1167">
        <v>90001</v>
      </c>
      <c r="D82" s="1129">
        <v>6050</v>
      </c>
      <c r="E82" s="932" t="s">
        <v>768</v>
      </c>
      <c r="F82" s="1059">
        <f>SUM(G82:K82)+J83+J84+J85</f>
        <v>526000</v>
      </c>
      <c r="G82" s="1060">
        <v>526000</v>
      </c>
      <c r="H82" s="1061">
        <v>0</v>
      </c>
      <c r="I82" s="1062" t="s">
        <v>732</v>
      </c>
      <c r="J82" s="1077">
        <v>0</v>
      </c>
      <c r="K82" s="1094">
        <v>0</v>
      </c>
      <c r="L82" s="1154" t="s">
        <v>658</v>
      </c>
      <c r="M82" s="993">
        <v>-84000</v>
      </c>
    </row>
    <row r="83" spans="1:12" ht="12" customHeight="1">
      <c r="A83" s="1205"/>
      <c r="B83" s="1168"/>
      <c r="C83" s="1168"/>
      <c r="D83" s="1145"/>
      <c r="E83" s="1174" t="s">
        <v>344</v>
      </c>
      <c r="F83" s="1034"/>
      <c r="G83" s="1035"/>
      <c r="H83" s="1065"/>
      <c r="I83" s="1037" t="s">
        <v>733</v>
      </c>
      <c r="J83" s="1047">
        <v>0</v>
      </c>
      <c r="K83" s="1052"/>
      <c r="L83" s="1155"/>
    </row>
    <row r="84" spans="1:12" ht="12" customHeight="1">
      <c r="A84" s="1205"/>
      <c r="B84" s="1168"/>
      <c r="C84" s="1168"/>
      <c r="D84" s="1168"/>
      <c r="E84" s="1175"/>
      <c r="F84" s="1034"/>
      <c r="G84" s="1035"/>
      <c r="H84" s="1065"/>
      <c r="I84" s="1037" t="s">
        <v>734</v>
      </c>
      <c r="J84" s="1047">
        <v>0</v>
      </c>
      <c r="K84" s="1052"/>
      <c r="L84" s="1155"/>
    </row>
    <row r="85" spans="1:12" ht="12" customHeight="1">
      <c r="A85" s="1203"/>
      <c r="B85" s="1146"/>
      <c r="C85" s="1146"/>
      <c r="D85" s="1146"/>
      <c r="E85" s="1176"/>
      <c r="F85" s="1068"/>
      <c r="G85" s="1069"/>
      <c r="H85" s="1070"/>
      <c r="I85" s="1071" t="s">
        <v>735</v>
      </c>
      <c r="J85" s="1095">
        <v>0</v>
      </c>
      <c r="K85" s="1096"/>
      <c r="L85" s="1156"/>
    </row>
    <row r="86" spans="1:13" ht="12" customHeight="1">
      <c r="A86" s="1204">
        <v>19</v>
      </c>
      <c r="B86" s="1167">
        <v>900</v>
      </c>
      <c r="C86" s="1167">
        <v>90001</v>
      </c>
      <c r="D86" s="1129">
        <v>6050</v>
      </c>
      <c r="E86" s="1207" t="s">
        <v>739</v>
      </c>
      <c r="F86" s="1059">
        <f>SUM(G86:K86)+J87+J88+J89</f>
        <v>1080000</v>
      </c>
      <c r="G86" s="1060">
        <v>1080000</v>
      </c>
      <c r="H86" s="1092">
        <v>0</v>
      </c>
      <c r="I86" s="1062" t="s">
        <v>732</v>
      </c>
      <c r="J86" s="1077">
        <v>0</v>
      </c>
      <c r="K86" s="1094">
        <v>0</v>
      </c>
      <c r="L86" s="1159" t="s">
        <v>658</v>
      </c>
      <c r="M86" s="993">
        <v>-200000</v>
      </c>
    </row>
    <row r="87" spans="1:12" ht="12" customHeight="1">
      <c r="A87" s="1205"/>
      <c r="B87" s="1168"/>
      <c r="C87" s="1168"/>
      <c r="D87" s="1145"/>
      <c r="E87" s="1208"/>
      <c r="F87" s="1034"/>
      <c r="G87" s="1035"/>
      <c r="H87" s="1050"/>
      <c r="I87" s="1037" t="s">
        <v>733</v>
      </c>
      <c r="J87" s="1047">
        <v>0</v>
      </c>
      <c r="K87" s="1052"/>
      <c r="L87" s="1160"/>
    </row>
    <row r="88" spans="1:12" ht="12" customHeight="1">
      <c r="A88" s="1205"/>
      <c r="B88" s="1168"/>
      <c r="C88" s="1168"/>
      <c r="D88" s="1145"/>
      <c r="E88" s="1208"/>
      <c r="F88" s="1034"/>
      <c r="G88" s="1035"/>
      <c r="H88" s="1050"/>
      <c r="I88" s="1037" t="s">
        <v>734</v>
      </c>
      <c r="J88" s="1047">
        <v>0</v>
      </c>
      <c r="K88" s="1052"/>
      <c r="L88" s="1160"/>
    </row>
    <row r="89" spans="1:12" ht="12" customHeight="1">
      <c r="A89" s="1203"/>
      <c r="B89" s="1146"/>
      <c r="C89" s="1146"/>
      <c r="D89" s="1206"/>
      <c r="E89" s="1209"/>
      <c r="F89" s="1068"/>
      <c r="G89" s="1069"/>
      <c r="H89" s="1056"/>
      <c r="I89" s="1071" t="s">
        <v>735</v>
      </c>
      <c r="J89" s="1095">
        <v>0</v>
      </c>
      <c r="K89" s="1096"/>
      <c r="L89" s="1161"/>
    </row>
    <row r="90" spans="1:13" ht="12" customHeight="1">
      <c r="A90" s="1201">
        <v>20</v>
      </c>
      <c r="B90" s="917">
        <v>900</v>
      </c>
      <c r="C90" s="917">
        <v>90015</v>
      </c>
      <c r="D90" s="933">
        <v>6050</v>
      </c>
      <c r="E90" s="1177" t="s">
        <v>637</v>
      </c>
      <c r="F90" s="1059">
        <f>SUM(G90:K90)+J91+J92+J93</f>
        <v>50000</v>
      </c>
      <c r="G90" s="1060">
        <v>50000</v>
      </c>
      <c r="H90" s="1099">
        <v>0</v>
      </c>
      <c r="I90" s="1062" t="s">
        <v>732</v>
      </c>
      <c r="J90" s="1063">
        <v>0</v>
      </c>
      <c r="K90" s="1100">
        <v>0</v>
      </c>
      <c r="L90" s="1154" t="s">
        <v>658</v>
      </c>
      <c r="M90" s="993">
        <v>-100000</v>
      </c>
    </row>
    <row r="91" spans="1:13" s="489" customFormat="1" ht="12" customHeight="1">
      <c r="A91" s="1202"/>
      <c r="B91" s="915"/>
      <c r="C91" s="915"/>
      <c r="D91" s="934"/>
      <c r="E91" s="1175"/>
      <c r="F91" s="1034"/>
      <c r="G91" s="1035"/>
      <c r="H91" s="1101"/>
      <c r="I91" s="1037" t="s">
        <v>733</v>
      </c>
      <c r="J91" s="1032">
        <v>0</v>
      </c>
      <c r="K91" s="1102"/>
      <c r="L91" s="1155"/>
      <c r="M91" s="1002"/>
    </row>
    <row r="92" spans="1:13" s="489" customFormat="1" ht="12" customHeight="1">
      <c r="A92" s="1202"/>
      <c r="B92" s="915"/>
      <c r="C92" s="915"/>
      <c r="D92" s="934"/>
      <c r="E92" s="1175"/>
      <c r="F92" s="1034"/>
      <c r="G92" s="1035"/>
      <c r="H92" s="1101"/>
      <c r="I92" s="1037" t="s">
        <v>734</v>
      </c>
      <c r="J92" s="1032">
        <v>0</v>
      </c>
      <c r="K92" s="1102"/>
      <c r="L92" s="1155"/>
      <c r="M92" s="1002"/>
    </row>
    <row r="93" spans="1:13" s="489" customFormat="1" ht="12" customHeight="1">
      <c r="A93" s="1203"/>
      <c r="B93" s="920"/>
      <c r="C93" s="920"/>
      <c r="D93" s="921"/>
      <c r="E93" s="1176"/>
      <c r="F93" s="1068"/>
      <c r="G93" s="1069"/>
      <c r="H93" s="1070"/>
      <c r="I93" s="1057" t="s">
        <v>320</v>
      </c>
      <c r="J93" s="1103">
        <v>0</v>
      </c>
      <c r="K93" s="1079"/>
      <c r="L93" s="1156"/>
      <c r="M93" s="1002"/>
    </row>
    <row r="94" spans="1:12" ht="12" customHeight="1">
      <c r="A94" s="1204">
        <v>21</v>
      </c>
      <c r="B94" s="1167">
        <v>921</v>
      </c>
      <c r="C94" s="1167">
        <v>92109</v>
      </c>
      <c r="D94" s="1167">
        <v>6050</v>
      </c>
      <c r="E94" s="1162" t="s">
        <v>193</v>
      </c>
      <c r="F94" s="1076">
        <f>SUM(G94:K94)+J95+J96+J97</f>
        <v>25000</v>
      </c>
      <c r="G94" s="1060">
        <f>UM!G327</f>
        <v>25000</v>
      </c>
      <c r="H94" s="1092">
        <v>0</v>
      </c>
      <c r="I94" s="1062" t="s">
        <v>732</v>
      </c>
      <c r="J94" s="1077">
        <v>0</v>
      </c>
      <c r="K94" s="1094">
        <v>0</v>
      </c>
      <c r="L94" s="1154" t="s">
        <v>658</v>
      </c>
    </row>
    <row r="95" spans="1:12" ht="12" customHeight="1">
      <c r="A95" s="1205"/>
      <c r="B95" s="1168"/>
      <c r="C95" s="1168"/>
      <c r="D95" s="1168"/>
      <c r="E95" s="1163"/>
      <c r="F95" s="1054"/>
      <c r="G95" s="1035"/>
      <c r="H95" s="1050"/>
      <c r="I95" s="1037" t="s">
        <v>733</v>
      </c>
      <c r="J95" s="1047">
        <v>0</v>
      </c>
      <c r="K95" s="1052"/>
      <c r="L95" s="1155"/>
    </row>
    <row r="96" spans="1:13" ht="12" customHeight="1">
      <c r="A96" s="1205"/>
      <c r="B96" s="1168"/>
      <c r="C96" s="1168"/>
      <c r="D96" s="1168"/>
      <c r="E96" s="1163"/>
      <c r="F96" s="1054"/>
      <c r="G96" s="1035"/>
      <c r="H96" s="1050"/>
      <c r="I96" s="1037" t="s">
        <v>734</v>
      </c>
      <c r="J96" s="1078">
        <v>0</v>
      </c>
      <c r="K96" s="1052"/>
      <c r="L96" s="1155"/>
      <c r="M96" s="993">
        <v>-80000</v>
      </c>
    </row>
    <row r="97" spans="1:13" ht="12" customHeight="1">
      <c r="A97" s="1203"/>
      <c r="B97" s="1146"/>
      <c r="C97" s="1146"/>
      <c r="D97" s="1146"/>
      <c r="E97" s="1164"/>
      <c r="F97" s="1055"/>
      <c r="G97" s="1069"/>
      <c r="H97" s="1056"/>
      <c r="I97" s="1071" t="s">
        <v>735</v>
      </c>
      <c r="J97" s="1075">
        <v>0</v>
      </c>
      <c r="K97" s="1058"/>
      <c r="L97" s="1156"/>
      <c r="M97" s="993">
        <v>-70000</v>
      </c>
    </row>
    <row r="98" spans="1:13" s="925" customFormat="1" ht="12" customHeight="1">
      <c r="A98" s="1169">
        <v>22</v>
      </c>
      <c r="B98" s="1171">
        <v>926</v>
      </c>
      <c r="C98" s="1171">
        <v>92601</v>
      </c>
      <c r="D98" s="1171">
        <v>6050</v>
      </c>
      <c r="E98" s="1162" t="s">
        <v>336</v>
      </c>
      <c r="F98" s="1080">
        <f>SUM(G98:K98)+J99+J100+J101</f>
        <v>1811815</v>
      </c>
      <c r="G98" s="1060">
        <v>811815</v>
      </c>
      <c r="H98" s="1092">
        <v>0</v>
      </c>
      <c r="I98" s="1104" t="s">
        <v>732</v>
      </c>
      <c r="J98" s="1093">
        <v>0</v>
      </c>
      <c r="K98" s="1105">
        <v>0</v>
      </c>
      <c r="L98" s="1159" t="s">
        <v>658</v>
      </c>
      <c r="M98" s="993"/>
    </row>
    <row r="99" spans="1:13" s="925" customFormat="1" ht="12" customHeight="1">
      <c r="A99" s="1170"/>
      <c r="B99" s="1172"/>
      <c r="C99" s="1172"/>
      <c r="D99" s="1172"/>
      <c r="E99" s="1163"/>
      <c r="F99" s="1081"/>
      <c r="G99" s="1035"/>
      <c r="H99" s="1050"/>
      <c r="I99" s="1086" t="s">
        <v>733</v>
      </c>
      <c r="J99" s="1087">
        <v>0</v>
      </c>
      <c r="K99" s="1106"/>
      <c r="L99" s="1160"/>
      <c r="M99" s="993"/>
    </row>
    <row r="100" spans="1:13" s="925" customFormat="1" ht="12" customHeight="1">
      <c r="A100" s="1170"/>
      <c r="B100" s="1172"/>
      <c r="C100" s="1172"/>
      <c r="D100" s="1172"/>
      <c r="E100" s="1163"/>
      <c r="F100" s="1081"/>
      <c r="G100" s="1035"/>
      <c r="H100" s="1050"/>
      <c r="I100" s="1086" t="s">
        <v>734</v>
      </c>
      <c r="J100" s="1087">
        <v>1000000</v>
      </c>
      <c r="K100" s="1106"/>
      <c r="L100" s="1160"/>
      <c r="M100" s="993"/>
    </row>
    <row r="101" spans="1:13" s="925" customFormat="1" ht="12" customHeight="1" thickBot="1">
      <c r="A101" s="1170"/>
      <c r="B101" s="1172"/>
      <c r="C101" s="1172"/>
      <c r="D101" s="1172"/>
      <c r="E101" s="1178"/>
      <c r="F101" s="1081"/>
      <c r="G101" s="1035"/>
      <c r="H101" s="1050"/>
      <c r="I101" s="1107" t="s">
        <v>735</v>
      </c>
      <c r="J101" s="1088">
        <v>0</v>
      </c>
      <c r="K101" s="1106"/>
      <c r="L101" s="1160"/>
      <c r="M101" s="993"/>
    </row>
    <row r="102" spans="1:12" ht="12" customHeight="1" thickBot="1">
      <c r="A102" s="1188" t="s">
        <v>125</v>
      </c>
      <c r="B102" s="1189"/>
      <c r="C102" s="1189"/>
      <c r="D102" s="1189"/>
      <c r="E102" s="1189"/>
      <c r="F102" s="1108">
        <f>SUM(G102:K102)+J103+J104+J105</f>
        <v>4511583.5</v>
      </c>
      <c r="G102" s="1109">
        <f>SUM(G14:G101)</f>
        <v>3431583.5</v>
      </c>
      <c r="H102" s="1110">
        <f>SUM(H14:H101)</f>
        <v>0</v>
      </c>
      <c r="I102" s="1124" t="s">
        <v>732</v>
      </c>
      <c r="J102" s="1111">
        <f>J14+J18+J22+J26+J30+J34+J38+J42+J46+J50+J54+J58+J62+J66+J70+J74+J78+J82+J86+J90+J94+J98</f>
        <v>0</v>
      </c>
      <c r="K102" s="1112">
        <f>SUM(K14:K101)</f>
        <v>0</v>
      </c>
      <c r="L102" s="1197"/>
    </row>
    <row r="103" spans="1:12" ht="12" customHeight="1" thickBot="1">
      <c r="A103" s="1190"/>
      <c r="B103" s="1191"/>
      <c r="C103" s="1191"/>
      <c r="D103" s="1191"/>
      <c r="E103" s="1191"/>
      <c r="F103" s="1113"/>
      <c r="G103" s="1114"/>
      <c r="H103" s="1115"/>
      <c r="I103" s="1125" t="s">
        <v>733</v>
      </c>
      <c r="J103" s="1116">
        <f>J15+J19+J23+J27+J31+J35+J39+J43+J47+J51+J55+J59+J63+J67+J71+J75+J79+J83+J87+J91+J95+J99</f>
        <v>80000</v>
      </c>
      <c r="K103" s="1117"/>
      <c r="L103" s="1198"/>
    </row>
    <row r="104" spans="1:12" ht="12" customHeight="1" thickBot="1">
      <c r="A104" s="1190"/>
      <c r="B104" s="1191"/>
      <c r="C104" s="1191"/>
      <c r="D104" s="1191"/>
      <c r="E104" s="1191"/>
      <c r="F104" s="1113"/>
      <c r="G104" s="1114"/>
      <c r="H104" s="1115"/>
      <c r="I104" s="1125" t="s">
        <v>734</v>
      </c>
      <c r="J104" s="1116">
        <f>J16+J20+J24+J28+J32+J36+J40+J44+J48+J52+J56+J60+J64+J68+J72+J76+J80+J84+J88+J92+J96+J100</f>
        <v>1000000</v>
      </c>
      <c r="K104" s="1117"/>
      <c r="L104" s="1198"/>
    </row>
    <row r="105" spans="1:12" ht="12" customHeight="1" thickBot="1">
      <c r="A105" s="1192"/>
      <c r="B105" s="1193"/>
      <c r="C105" s="1193"/>
      <c r="D105" s="1193"/>
      <c r="E105" s="1193"/>
      <c r="F105" s="1118"/>
      <c r="G105" s="1119"/>
      <c r="H105" s="1120"/>
      <c r="I105" s="1121" t="s">
        <v>735</v>
      </c>
      <c r="J105" s="1122">
        <f>J17+J21+J25+J29+J33+J37+J41+J45+J49+J53+J57+J61+J65+J69+J73+J77+J81+J85+J89+J93+J97+J101</f>
        <v>0</v>
      </c>
      <c r="K105" s="1123"/>
      <c r="L105" s="1199"/>
    </row>
    <row r="106" spans="1:13" s="67" customFormat="1" ht="11.25">
      <c r="A106" s="67" t="s">
        <v>200</v>
      </c>
      <c r="G106" s="935"/>
      <c r="H106" s="935"/>
      <c r="L106" s="936"/>
      <c r="M106" s="1003">
        <v>-250000</v>
      </c>
    </row>
    <row r="107" spans="1:13" s="67" customFormat="1" ht="11.25">
      <c r="A107" s="67" t="s">
        <v>201</v>
      </c>
      <c r="G107" s="935"/>
      <c r="H107" s="935"/>
      <c r="L107" s="936"/>
      <c r="M107" s="1003"/>
    </row>
    <row r="108" spans="1:13" s="67" customFormat="1" ht="11.25">
      <c r="A108" s="67" t="s">
        <v>202</v>
      </c>
      <c r="G108" s="935"/>
      <c r="H108" s="935"/>
      <c r="L108" s="936"/>
      <c r="M108" s="1003"/>
    </row>
    <row r="109" spans="1:13" s="67" customFormat="1" ht="11.25">
      <c r="A109" s="67" t="s">
        <v>203</v>
      </c>
      <c r="G109" s="935"/>
      <c r="H109" s="935"/>
      <c r="L109" s="936"/>
      <c r="M109" s="1003"/>
    </row>
    <row r="110" spans="1:13" s="67" customFormat="1" ht="11.25">
      <c r="A110" s="937" t="s">
        <v>204</v>
      </c>
      <c r="B110" s="937"/>
      <c r="C110" s="937"/>
      <c r="D110" s="937"/>
      <c r="E110" s="937"/>
      <c r="F110" s="937"/>
      <c r="G110" s="938"/>
      <c r="H110" s="938"/>
      <c r="I110" s="937"/>
      <c r="J110" s="937"/>
      <c r="K110" s="937"/>
      <c r="L110" s="939"/>
      <c r="M110" s="1003"/>
    </row>
    <row r="111" spans="1:8" ht="15.75">
      <c r="A111" s="1196" t="s">
        <v>355</v>
      </c>
      <c r="B111" s="1196"/>
      <c r="C111" s="1196"/>
      <c r="D111" s="1196"/>
      <c r="E111" s="1196"/>
      <c r="F111" s="1196"/>
      <c r="G111" s="925"/>
      <c r="H111" s="925"/>
    </row>
    <row r="112" spans="1:12" ht="12" customHeight="1" thickBot="1">
      <c r="A112" s="489"/>
      <c r="B112" s="489"/>
      <c r="C112" s="489"/>
      <c r="D112" s="489"/>
      <c r="E112" s="489"/>
      <c r="F112" s="489"/>
      <c r="G112" s="205"/>
      <c r="H112" s="925"/>
      <c r="I112" s="1173" t="s">
        <v>413</v>
      </c>
      <c r="J112" s="1173"/>
      <c r="K112" s="489"/>
      <c r="L112" s="489"/>
    </row>
    <row r="113" spans="1:13" s="247" customFormat="1" ht="26.25" customHeight="1">
      <c r="A113" s="1194" t="s">
        <v>661</v>
      </c>
      <c r="B113" s="1194" t="s">
        <v>414</v>
      </c>
      <c r="C113" s="1194" t="s">
        <v>662</v>
      </c>
      <c r="D113" s="1243" t="s">
        <v>417</v>
      </c>
      <c r="E113" s="1195" t="s">
        <v>286</v>
      </c>
      <c r="F113" s="1250" t="s">
        <v>279</v>
      </c>
      <c r="G113" s="1242" t="s">
        <v>282</v>
      </c>
      <c r="H113" s="1180"/>
      <c r="I113" s="1180" t="s">
        <v>853</v>
      </c>
      <c r="J113" s="1180"/>
      <c r="M113" s="1004"/>
    </row>
    <row r="114" spans="1:13" s="247" customFormat="1" ht="27" customHeight="1">
      <c r="A114" s="1194"/>
      <c r="B114" s="1194"/>
      <c r="C114" s="1194"/>
      <c r="D114" s="1243"/>
      <c r="E114" s="1195"/>
      <c r="F114" s="1251"/>
      <c r="G114" s="940" t="s">
        <v>277</v>
      </c>
      <c r="H114" s="941" t="s">
        <v>278</v>
      </c>
      <c r="I114" s="1180"/>
      <c r="J114" s="1180"/>
      <c r="M114" s="1004"/>
    </row>
    <row r="115" spans="1:13" s="945" customFormat="1" ht="7.5" customHeight="1">
      <c r="A115" s="279">
        <v>1</v>
      </c>
      <c r="B115" s="279">
        <v>2</v>
      </c>
      <c r="C115" s="279">
        <v>3</v>
      </c>
      <c r="D115" s="279">
        <v>4</v>
      </c>
      <c r="E115" s="942">
        <v>5</v>
      </c>
      <c r="F115" s="288">
        <v>6</v>
      </c>
      <c r="G115" s="943">
        <v>7</v>
      </c>
      <c r="H115" s="944">
        <v>8</v>
      </c>
      <c r="I115" s="1181">
        <v>9</v>
      </c>
      <c r="J115" s="1181"/>
      <c r="M115" s="1005"/>
    </row>
    <row r="116" spans="1:13" s="247" customFormat="1" ht="84" customHeight="1">
      <c r="A116" s="874">
        <v>1</v>
      </c>
      <c r="B116" s="874">
        <v>150</v>
      </c>
      <c r="C116" s="874">
        <v>15011</v>
      </c>
      <c r="D116" s="874">
        <v>6639</v>
      </c>
      <c r="E116" s="946" t="s">
        <v>194</v>
      </c>
      <c r="F116" s="1022">
        <v>6269.95</v>
      </c>
      <c r="G116" s="574">
        <v>6269.95</v>
      </c>
      <c r="H116" s="1023">
        <v>0</v>
      </c>
      <c r="I116" s="1179" t="s">
        <v>222</v>
      </c>
      <c r="J116" s="1179"/>
      <c r="M116" s="247">
        <v>-8400.05</v>
      </c>
    </row>
    <row r="117" spans="1:10" s="247" customFormat="1" ht="60">
      <c r="A117" s="874">
        <v>2</v>
      </c>
      <c r="B117" s="874">
        <v>754</v>
      </c>
      <c r="C117" s="874">
        <v>75412</v>
      </c>
      <c r="D117" s="874">
        <v>6230</v>
      </c>
      <c r="E117" s="947" t="s">
        <v>446</v>
      </c>
      <c r="F117" s="351">
        <f>G117+H117</f>
        <v>40000</v>
      </c>
      <c r="G117" s="574">
        <v>40000</v>
      </c>
      <c r="H117" s="1023">
        <v>0</v>
      </c>
      <c r="I117" s="1179" t="s">
        <v>183</v>
      </c>
      <c r="J117" s="1179"/>
    </row>
    <row r="118" spans="1:10" s="247" customFormat="1" ht="72">
      <c r="A118" s="346">
        <v>3</v>
      </c>
      <c r="B118" s="346">
        <v>754</v>
      </c>
      <c r="C118" s="346">
        <v>75421</v>
      </c>
      <c r="D118" s="346">
        <v>6300</v>
      </c>
      <c r="E118" s="947" t="s">
        <v>181</v>
      </c>
      <c r="F118" s="351">
        <f>G118+H118</f>
        <v>8000</v>
      </c>
      <c r="G118" s="574">
        <v>8000</v>
      </c>
      <c r="H118" s="1023">
        <v>0</v>
      </c>
      <c r="I118" s="1182" t="s">
        <v>854</v>
      </c>
      <c r="J118" s="1182"/>
    </row>
    <row r="119" spans="1:13" s="247" customFormat="1" ht="74.25" customHeight="1">
      <c r="A119" s="874">
        <v>4</v>
      </c>
      <c r="B119" s="874">
        <v>750</v>
      </c>
      <c r="C119" s="874">
        <v>75095</v>
      </c>
      <c r="D119" s="346">
        <v>6639</v>
      </c>
      <c r="E119" s="946" t="s">
        <v>195</v>
      </c>
      <c r="F119" s="1022">
        <v>3610.84</v>
      </c>
      <c r="G119" s="574">
        <v>3610.84</v>
      </c>
      <c r="H119" s="1023">
        <v>0</v>
      </c>
      <c r="I119" s="1179" t="s">
        <v>222</v>
      </c>
      <c r="J119" s="1179"/>
      <c r="M119" s="247">
        <v>-8993.16</v>
      </c>
    </row>
    <row r="120" spans="1:10" s="247" customFormat="1" ht="48">
      <c r="A120" s="874">
        <v>5</v>
      </c>
      <c r="B120" s="948">
        <v>851</v>
      </c>
      <c r="C120" s="948">
        <v>85111</v>
      </c>
      <c r="D120" s="949">
        <v>6300</v>
      </c>
      <c r="E120" s="950" t="s">
        <v>505</v>
      </c>
      <c r="F120" s="351">
        <f>G120+H120</f>
        <v>10000</v>
      </c>
      <c r="G120" s="574">
        <f>UM!G242</f>
        <v>10000</v>
      </c>
      <c r="H120" s="1023">
        <v>0</v>
      </c>
      <c r="I120" s="1179" t="s">
        <v>854</v>
      </c>
      <c r="J120" s="1179"/>
    </row>
    <row r="121" spans="1:13" s="57" customFormat="1" ht="14.25" customHeight="1">
      <c r="A121" s="1194" t="s">
        <v>125</v>
      </c>
      <c r="B121" s="1194"/>
      <c r="C121" s="1194"/>
      <c r="D121" s="1194"/>
      <c r="E121" s="1195"/>
      <c r="F121" s="1024">
        <f>SUM(F116:F120)</f>
        <v>67880.79</v>
      </c>
      <c r="G121" s="1025">
        <f>SUM(G116:G120)</f>
        <v>67880.79</v>
      </c>
      <c r="H121" s="1026">
        <f>SUM(H116:H120)</f>
        <v>0</v>
      </c>
      <c r="I121" s="1200"/>
      <c r="J121" s="1200"/>
      <c r="M121" s="1006"/>
    </row>
    <row r="122" spans="1:13" s="954" customFormat="1" ht="5.25" customHeight="1" thickBot="1">
      <c r="A122" s="951"/>
      <c r="B122" s="951"/>
      <c r="C122" s="951"/>
      <c r="D122" s="951"/>
      <c r="E122" s="951"/>
      <c r="F122" s="952"/>
      <c r="G122" s="952"/>
      <c r="H122" s="952"/>
      <c r="I122" s="953"/>
      <c r="J122" s="953"/>
      <c r="M122" s="994"/>
    </row>
    <row r="123" spans="1:13" s="898" customFormat="1" ht="13.5" thickBot="1">
      <c r="A123" s="1186" t="s">
        <v>447</v>
      </c>
      <c r="B123" s="1186"/>
      <c r="C123" s="1186"/>
      <c r="D123" s="1186"/>
      <c r="E123" s="1187"/>
      <c r="F123" s="1027">
        <f>F102+F121</f>
        <v>4579464.29</v>
      </c>
      <c r="G123" s="955"/>
      <c r="H123" s="955"/>
      <c r="L123" s="956"/>
      <c r="M123" s="1007"/>
    </row>
    <row r="124" spans="7:8" ht="12.75">
      <c r="G124" s="925"/>
      <c r="H124" s="925"/>
    </row>
    <row r="125" spans="7:8" ht="12.75">
      <c r="G125" s="925"/>
      <c r="H125" s="925"/>
    </row>
    <row r="126" spans="7:8" ht="12.75">
      <c r="G126" s="925"/>
      <c r="H126" s="925"/>
    </row>
    <row r="127" spans="7:8" ht="12.75">
      <c r="G127" s="925"/>
      <c r="H127" s="925"/>
    </row>
    <row r="128" spans="7:8" ht="12.75">
      <c r="G128" s="925"/>
      <c r="H128" s="925"/>
    </row>
    <row r="129" spans="7:8" ht="12.75">
      <c r="G129" s="925"/>
      <c r="H129" s="925"/>
    </row>
    <row r="130" spans="7:8" ht="12.75">
      <c r="G130" s="925"/>
      <c r="H130" s="925"/>
    </row>
    <row r="131" spans="7:8" ht="12.75">
      <c r="G131" s="925"/>
      <c r="H131" s="925"/>
    </row>
    <row r="132" spans="7:8" ht="12.75">
      <c r="G132" s="925"/>
      <c r="H132" s="925"/>
    </row>
    <row r="133" spans="7:8" ht="12.75">
      <c r="G133" s="925"/>
      <c r="H133" s="925"/>
    </row>
    <row r="134" spans="7:8" ht="12.75">
      <c r="G134" s="925"/>
      <c r="H134" s="925"/>
    </row>
    <row r="135" spans="7:8" ht="12.75">
      <c r="G135" s="925"/>
      <c r="H135" s="925"/>
    </row>
    <row r="136" spans="7:8" ht="12.75">
      <c r="G136" s="925"/>
      <c r="H136" s="925"/>
    </row>
    <row r="137" spans="7:8" ht="12.75">
      <c r="G137" s="925"/>
      <c r="H137" s="925"/>
    </row>
    <row r="138" spans="7:8" ht="12.75">
      <c r="G138" s="925"/>
      <c r="H138" s="925"/>
    </row>
    <row r="139" spans="7:8" ht="12.75">
      <c r="G139" s="925"/>
      <c r="H139" s="925"/>
    </row>
    <row r="140" spans="7:8" ht="12.75">
      <c r="G140" s="925"/>
      <c r="H140" s="925"/>
    </row>
    <row r="141" spans="7:8" ht="12.75">
      <c r="G141" s="925"/>
      <c r="H141" s="925"/>
    </row>
    <row r="142" spans="7:8" ht="12.75">
      <c r="G142" s="925"/>
      <c r="H142" s="925"/>
    </row>
    <row r="143" spans="7:8" ht="12.75">
      <c r="G143" s="925"/>
      <c r="H143" s="925"/>
    </row>
    <row r="144" spans="7:8" ht="12.75">
      <c r="G144" s="925"/>
      <c r="H144" s="925"/>
    </row>
    <row r="145" spans="7:8" ht="12.75">
      <c r="G145" s="925"/>
      <c r="H145" s="925"/>
    </row>
    <row r="146" spans="7:8" ht="12.75">
      <c r="G146" s="925"/>
      <c r="H146" s="925"/>
    </row>
    <row r="147" spans="7:8" ht="12.75">
      <c r="G147" s="925"/>
      <c r="H147" s="925"/>
    </row>
    <row r="148" spans="7:8" ht="12.75">
      <c r="G148" s="925"/>
      <c r="H148" s="925"/>
    </row>
    <row r="149" spans="7:8" ht="12.75">
      <c r="G149" s="925"/>
      <c r="H149" s="925"/>
    </row>
    <row r="150" spans="7:8" ht="12.75">
      <c r="G150" s="925"/>
      <c r="H150" s="925"/>
    </row>
    <row r="151" spans="7:8" ht="12.75">
      <c r="G151" s="925"/>
      <c r="H151" s="925"/>
    </row>
    <row r="152" spans="7:8" ht="12.75">
      <c r="G152" s="925"/>
      <c r="H152" s="925"/>
    </row>
    <row r="153" spans="7:8" ht="12.75">
      <c r="G153" s="925"/>
      <c r="H153" s="925"/>
    </row>
    <row r="154" spans="7:8" ht="12.75">
      <c r="G154" s="925"/>
      <c r="H154" s="925"/>
    </row>
    <row r="155" spans="7:8" ht="12.75">
      <c r="G155" s="925"/>
      <c r="H155" s="925"/>
    </row>
    <row r="156" spans="7:8" ht="12.75">
      <c r="G156" s="925"/>
      <c r="H156" s="925"/>
    </row>
    <row r="157" spans="7:8" ht="12.75">
      <c r="G157" s="925"/>
      <c r="H157" s="925"/>
    </row>
    <row r="158" spans="7:8" ht="12.75">
      <c r="G158" s="925"/>
      <c r="H158" s="925"/>
    </row>
    <row r="159" spans="7:8" ht="12.75">
      <c r="G159" s="925"/>
      <c r="H159" s="925"/>
    </row>
    <row r="160" spans="7:8" ht="12.75">
      <c r="G160" s="925"/>
      <c r="H160" s="925"/>
    </row>
    <row r="161" spans="7:8" ht="12.75">
      <c r="G161" s="925"/>
      <c r="H161" s="925"/>
    </row>
    <row r="162" spans="7:8" ht="12.75">
      <c r="G162" s="925"/>
      <c r="H162" s="925"/>
    </row>
    <row r="163" spans="7:8" ht="12.75">
      <c r="G163" s="925"/>
      <c r="H163" s="925"/>
    </row>
    <row r="164" spans="7:8" ht="12.75">
      <c r="G164" s="925"/>
      <c r="H164" s="925"/>
    </row>
    <row r="165" spans="7:8" ht="12.75">
      <c r="G165" s="925"/>
      <c r="H165" s="925"/>
    </row>
    <row r="166" spans="7:8" ht="12.75">
      <c r="G166" s="925"/>
      <c r="H166" s="925"/>
    </row>
    <row r="167" spans="7:8" ht="12.75">
      <c r="G167" s="925"/>
      <c r="H167" s="925"/>
    </row>
    <row r="168" spans="7:8" ht="12.75">
      <c r="G168" s="925"/>
      <c r="H168" s="925"/>
    </row>
    <row r="169" spans="7:8" ht="12.75">
      <c r="G169" s="925"/>
      <c r="H169" s="925"/>
    </row>
    <row r="170" spans="7:8" ht="12.75">
      <c r="G170" s="925"/>
      <c r="H170" s="925"/>
    </row>
    <row r="171" spans="7:8" ht="12.75">
      <c r="G171" s="925"/>
      <c r="H171" s="925"/>
    </row>
    <row r="172" spans="7:8" ht="12.75">
      <c r="G172" s="925"/>
      <c r="H172" s="925"/>
    </row>
    <row r="173" spans="7:8" ht="12.75">
      <c r="G173" s="925"/>
      <c r="H173" s="925"/>
    </row>
    <row r="174" spans="7:8" ht="12.75">
      <c r="G174" s="925"/>
      <c r="H174" s="925"/>
    </row>
    <row r="175" spans="7:8" ht="12.75">
      <c r="G175" s="925"/>
      <c r="H175" s="925"/>
    </row>
    <row r="176" spans="7:8" ht="12.75">
      <c r="G176" s="925"/>
      <c r="H176" s="925"/>
    </row>
    <row r="177" spans="7:8" ht="12.75">
      <c r="G177" s="925"/>
      <c r="H177" s="925"/>
    </row>
    <row r="178" spans="7:8" ht="12.75">
      <c r="G178" s="925"/>
      <c r="H178" s="925"/>
    </row>
    <row r="179" spans="7:8" ht="12.75">
      <c r="G179" s="925"/>
      <c r="H179" s="925"/>
    </row>
    <row r="180" spans="7:8" ht="12.75">
      <c r="G180" s="925"/>
      <c r="H180" s="925"/>
    </row>
    <row r="181" spans="7:8" ht="12.75">
      <c r="G181" s="925"/>
      <c r="H181" s="925"/>
    </row>
    <row r="182" spans="7:8" ht="12.75">
      <c r="G182" s="925"/>
      <c r="H182" s="925"/>
    </row>
    <row r="183" spans="7:8" ht="12.75">
      <c r="G183" s="925"/>
      <c r="H183" s="925"/>
    </row>
    <row r="184" spans="7:8" ht="12.75">
      <c r="G184" s="925"/>
      <c r="H184" s="925"/>
    </row>
    <row r="185" spans="7:8" ht="12.75">
      <c r="G185" s="925"/>
      <c r="H185" s="925"/>
    </row>
    <row r="186" spans="7:8" ht="12.75">
      <c r="G186" s="925"/>
      <c r="H186" s="925"/>
    </row>
    <row r="187" spans="7:8" ht="12.75">
      <c r="G187" s="925"/>
      <c r="H187" s="925"/>
    </row>
    <row r="188" spans="7:8" ht="12.75">
      <c r="G188" s="925"/>
      <c r="H188" s="925"/>
    </row>
    <row r="189" spans="7:8" ht="12.75">
      <c r="G189" s="925"/>
      <c r="H189" s="925"/>
    </row>
    <row r="190" spans="7:8" ht="12.75">
      <c r="G190" s="925"/>
      <c r="H190" s="925"/>
    </row>
    <row r="191" spans="7:8" ht="12.75">
      <c r="G191" s="925"/>
      <c r="H191" s="925"/>
    </row>
    <row r="192" spans="7:8" ht="12.75">
      <c r="G192" s="925"/>
      <c r="H192" s="925"/>
    </row>
    <row r="193" spans="7:8" ht="12.75">
      <c r="G193" s="925"/>
      <c r="H193" s="925"/>
    </row>
    <row r="194" spans="7:8" ht="12.75">
      <c r="G194" s="925"/>
      <c r="H194" s="925"/>
    </row>
    <row r="195" spans="7:8" ht="12.75">
      <c r="G195" s="925"/>
      <c r="H195" s="925"/>
    </row>
    <row r="196" spans="7:8" ht="12.75">
      <c r="G196" s="925"/>
      <c r="H196" s="925"/>
    </row>
    <row r="197" spans="7:8" ht="12.75">
      <c r="G197" s="925"/>
      <c r="H197" s="925"/>
    </row>
    <row r="198" spans="7:8" ht="12.75">
      <c r="G198" s="925"/>
      <c r="H198" s="925"/>
    </row>
    <row r="199" spans="7:8" ht="12.75">
      <c r="G199" s="925"/>
      <c r="H199" s="925"/>
    </row>
    <row r="200" spans="7:8" ht="12.75">
      <c r="G200" s="925"/>
      <c r="H200" s="925"/>
    </row>
    <row r="201" spans="7:8" ht="12.75">
      <c r="G201" s="925"/>
      <c r="H201" s="925"/>
    </row>
    <row r="202" spans="7:8" ht="12.75">
      <c r="G202" s="925"/>
      <c r="H202" s="925"/>
    </row>
    <row r="203" spans="7:8" ht="12.75">
      <c r="G203" s="925"/>
      <c r="H203" s="925"/>
    </row>
    <row r="204" spans="7:8" ht="12.75">
      <c r="G204" s="925"/>
      <c r="H204" s="925"/>
    </row>
    <row r="205" spans="7:8" ht="12.75">
      <c r="G205" s="925"/>
      <c r="H205" s="925"/>
    </row>
    <row r="206" spans="7:8" ht="12.75">
      <c r="G206" s="925"/>
      <c r="H206" s="925"/>
    </row>
    <row r="207" spans="7:8" ht="12.75">
      <c r="G207" s="925"/>
      <c r="H207" s="925"/>
    </row>
    <row r="208" spans="7:8" ht="12.75">
      <c r="G208" s="925"/>
      <c r="H208" s="925"/>
    </row>
    <row r="209" spans="7:8" ht="12.75">
      <c r="G209" s="925"/>
      <c r="H209" s="925"/>
    </row>
    <row r="210" spans="7:8" ht="12.75">
      <c r="G210" s="925"/>
      <c r="H210" s="925"/>
    </row>
    <row r="211" spans="7:8" ht="12.75">
      <c r="G211" s="925"/>
      <c r="H211" s="925"/>
    </row>
    <row r="212" spans="7:8" ht="12.75">
      <c r="G212" s="925"/>
      <c r="H212" s="925"/>
    </row>
    <row r="213" spans="7:8" ht="12.75">
      <c r="G213" s="925"/>
      <c r="H213" s="925"/>
    </row>
    <row r="214" spans="7:8" ht="12.75">
      <c r="G214" s="925"/>
      <c r="H214" s="925"/>
    </row>
    <row r="215" spans="7:8" ht="12.75">
      <c r="G215" s="925"/>
      <c r="H215" s="925"/>
    </row>
    <row r="216" spans="7:8" ht="12.75">
      <c r="G216" s="925"/>
      <c r="H216" s="925"/>
    </row>
    <row r="217" spans="7:8" ht="12.75">
      <c r="G217" s="925"/>
      <c r="H217" s="925"/>
    </row>
    <row r="218" spans="7:8" ht="12.75">
      <c r="G218" s="925"/>
      <c r="H218" s="925"/>
    </row>
    <row r="219" spans="7:8" ht="12.75">
      <c r="G219" s="925"/>
      <c r="H219" s="925"/>
    </row>
    <row r="220" spans="7:8" ht="12.75">
      <c r="G220" s="925"/>
      <c r="H220" s="925"/>
    </row>
    <row r="221" spans="7:8" ht="12.75">
      <c r="G221" s="925"/>
      <c r="H221" s="925"/>
    </row>
    <row r="222" spans="7:8" ht="12.75">
      <c r="G222" s="925"/>
      <c r="H222" s="925"/>
    </row>
    <row r="223" spans="7:8" ht="12.75">
      <c r="G223" s="925"/>
      <c r="H223" s="925"/>
    </row>
    <row r="224" spans="7:8" ht="12.75">
      <c r="G224" s="925"/>
      <c r="H224" s="925"/>
    </row>
    <row r="225" spans="7:8" ht="12.75">
      <c r="G225" s="925"/>
      <c r="H225" s="925"/>
    </row>
    <row r="226" spans="7:8" ht="12.75">
      <c r="G226" s="925"/>
      <c r="H226" s="925"/>
    </row>
    <row r="227" spans="7:8" ht="12.75">
      <c r="G227" s="925"/>
      <c r="H227" s="925"/>
    </row>
    <row r="228" spans="7:8" ht="12.75">
      <c r="G228" s="925"/>
      <c r="H228" s="925"/>
    </row>
    <row r="229" spans="7:8" ht="12.75">
      <c r="G229" s="925"/>
      <c r="H229" s="925"/>
    </row>
    <row r="230" spans="7:8" ht="12.75">
      <c r="G230" s="925"/>
      <c r="H230" s="925"/>
    </row>
    <row r="231" spans="7:8" ht="12.75">
      <c r="G231" s="925"/>
      <c r="H231" s="925"/>
    </row>
    <row r="232" spans="7:8" ht="12.75">
      <c r="G232" s="925"/>
      <c r="H232" s="925"/>
    </row>
    <row r="233" spans="7:8" ht="12.75">
      <c r="G233" s="925"/>
      <c r="H233" s="925"/>
    </row>
    <row r="234" spans="7:8" ht="12.75">
      <c r="G234" s="925"/>
      <c r="H234" s="925"/>
    </row>
    <row r="235" spans="7:8" ht="12.75">
      <c r="G235" s="925"/>
      <c r="H235" s="925"/>
    </row>
    <row r="236" spans="7:8" ht="12.75">
      <c r="G236" s="925"/>
      <c r="H236" s="925"/>
    </row>
    <row r="237" spans="7:8" ht="12.75">
      <c r="G237" s="925"/>
      <c r="H237" s="925"/>
    </row>
    <row r="238" spans="7:8" ht="12.75">
      <c r="G238" s="925"/>
      <c r="H238" s="925"/>
    </row>
  </sheetData>
  <mergeCells count="147">
    <mergeCell ref="C50:C53"/>
    <mergeCell ref="B113:B114"/>
    <mergeCell ref="E113:E114"/>
    <mergeCell ref="F113:F114"/>
    <mergeCell ref="D66:D69"/>
    <mergeCell ref="D54:D57"/>
    <mergeCell ref="E54:E57"/>
    <mergeCell ref="E66:E69"/>
    <mergeCell ref="D58:D61"/>
    <mergeCell ref="D74:D77"/>
    <mergeCell ref="A66:A69"/>
    <mergeCell ref="B66:B69"/>
    <mergeCell ref="C66:C69"/>
    <mergeCell ref="C70:C73"/>
    <mergeCell ref="G113:H113"/>
    <mergeCell ref="D113:D114"/>
    <mergeCell ref="C113:C114"/>
    <mergeCell ref="A10:A12"/>
    <mergeCell ref="A82:A85"/>
    <mergeCell ref="A70:A73"/>
    <mergeCell ref="B70:B73"/>
    <mergeCell ref="A78:A81"/>
    <mergeCell ref="B78:B81"/>
    <mergeCell ref="A38:A41"/>
    <mergeCell ref="B38:B41"/>
    <mergeCell ref="A34:A37"/>
    <mergeCell ref="B50:B53"/>
    <mergeCell ref="A3:L3"/>
    <mergeCell ref="B8:K8"/>
    <mergeCell ref="B9:L9"/>
    <mergeCell ref="A6:L6"/>
    <mergeCell ref="D30:D33"/>
    <mergeCell ref="C30:C33"/>
    <mergeCell ref="G11:K11"/>
    <mergeCell ref="D26:D29"/>
    <mergeCell ref="C22:C25"/>
    <mergeCell ref="D22:D25"/>
    <mergeCell ref="F11:F12"/>
    <mergeCell ref="D18:D21"/>
    <mergeCell ref="B10:B12"/>
    <mergeCell ref="C10:C12"/>
    <mergeCell ref="D10:D12"/>
    <mergeCell ref="F10:K10"/>
    <mergeCell ref="I12:J12"/>
    <mergeCell ref="E10:E12"/>
    <mergeCell ref="A26:A29"/>
    <mergeCell ref="B26:B29"/>
    <mergeCell ref="C26:C29"/>
    <mergeCell ref="A22:A25"/>
    <mergeCell ref="B22:B25"/>
    <mergeCell ref="A18:A21"/>
    <mergeCell ref="B18:B21"/>
    <mergeCell ref="I13:J13"/>
    <mergeCell ref="E14:E17"/>
    <mergeCell ref="E18:E21"/>
    <mergeCell ref="E34:E37"/>
    <mergeCell ref="E22:E25"/>
    <mergeCell ref="E26:E29"/>
    <mergeCell ref="B82:B85"/>
    <mergeCell ref="C82:C85"/>
    <mergeCell ref="C78:C81"/>
    <mergeCell ref="B74:B77"/>
    <mergeCell ref="C74:C77"/>
    <mergeCell ref="D50:D53"/>
    <mergeCell ref="E50:E53"/>
    <mergeCell ref="A86:A89"/>
    <mergeCell ref="B86:B89"/>
    <mergeCell ref="C86:C89"/>
    <mergeCell ref="L86:L89"/>
    <mergeCell ref="D86:D89"/>
    <mergeCell ref="E86:E89"/>
    <mergeCell ref="A94:A97"/>
    <mergeCell ref="B94:B97"/>
    <mergeCell ref="C94:C97"/>
    <mergeCell ref="D94:D97"/>
    <mergeCell ref="L10:L12"/>
    <mergeCell ref="A123:E123"/>
    <mergeCell ref="A102:E105"/>
    <mergeCell ref="A121:E121"/>
    <mergeCell ref="A111:F111"/>
    <mergeCell ref="A113:A114"/>
    <mergeCell ref="L102:L105"/>
    <mergeCell ref="I121:J121"/>
    <mergeCell ref="A90:A93"/>
    <mergeCell ref="E94:E97"/>
    <mergeCell ref="I120:J120"/>
    <mergeCell ref="I113:J114"/>
    <mergeCell ref="I115:J115"/>
    <mergeCell ref="I119:J119"/>
    <mergeCell ref="I116:J116"/>
    <mergeCell ref="I117:J117"/>
    <mergeCell ref="I118:J118"/>
    <mergeCell ref="I112:J112"/>
    <mergeCell ref="D82:D85"/>
    <mergeCell ref="D78:D81"/>
    <mergeCell ref="E78:E81"/>
    <mergeCell ref="E83:E85"/>
    <mergeCell ref="E90:E93"/>
    <mergeCell ref="E98:E101"/>
    <mergeCell ref="A98:A101"/>
    <mergeCell ref="B98:B101"/>
    <mergeCell ref="C98:C101"/>
    <mergeCell ref="D98:D101"/>
    <mergeCell ref="L78:L81"/>
    <mergeCell ref="L98:L101"/>
    <mergeCell ref="L82:L85"/>
    <mergeCell ref="L90:L93"/>
    <mergeCell ref="L94:L97"/>
    <mergeCell ref="L54:L57"/>
    <mergeCell ref="L66:L69"/>
    <mergeCell ref="L46:L49"/>
    <mergeCell ref="L50:L53"/>
    <mergeCell ref="L62:L65"/>
    <mergeCell ref="B30:B33"/>
    <mergeCell ref="B46:B49"/>
    <mergeCell ref="C46:C49"/>
    <mergeCell ref="D46:D49"/>
    <mergeCell ref="D34:D37"/>
    <mergeCell ref="B42:B45"/>
    <mergeCell ref="C42:C45"/>
    <mergeCell ref="B34:B37"/>
    <mergeCell ref="C34:C37"/>
    <mergeCell ref="D42:D45"/>
    <mergeCell ref="E46:E49"/>
    <mergeCell ref="L42:L45"/>
    <mergeCell ref="L38:L41"/>
    <mergeCell ref="E42:E45"/>
    <mergeCell ref="E38:E41"/>
    <mergeCell ref="D38:D41"/>
    <mergeCell ref="C38:C41"/>
    <mergeCell ref="L14:L17"/>
    <mergeCell ref="E30:E33"/>
    <mergeCell ref="L22:L25"/>
    <mergeCell ref="L18:L21"/>
    <mergeCell ref="L34:L37"/>
    <mergeCell ref="L30:L33"/>
    <mergeCell ref="L26:L29"/>
    <mergeCell ref="C18:C21"/>
    <mergeCell ref="D70:D73"/>
    <mergeCell ref="E74:E77"/>
    <mergeCell ref="L74:L77"/>
    <mergeCell ref="E58:E61"/>
    <mergeCell ref="L58:L61"/>
    <mergeCell ref="L70:L73"/>
    <mergeCell ref="E70:E73"/>
    <mergeCell ref="D62:D65"/>
    <mergeCell ref="E62:E65"/>
  </mergeCells>
  <printOptions horizontalCentered="1"/>
  <pageMargins left="0" right="0" top="0.984251968503937" bottom="0.3937007874015748" header="0.5118110236220472" footer="0.11811023622047245"/>
  <pageSetup horizontalDpi="300" verticalDpi="300" orientation="landscape" paperSize="9" r:id="rId1"/>
  <headerFooter alignWithMargins="0">
    <oddFooter>&amp;CStrona &amp;P</oddFooter>
  </headerFooter>
  <rowBreaks count="2" manualBreakCount="2">
    <brk id="33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6" sqref="A6:D6"/>
    </sheetView>
  </sheetViews>
  <sheetFormatPr defaultColWidth="9.33203125" defaultRowHeight="12.75"/>
  <cols>
    <col min="1" max="1" width="5.5" style="490" customWidth="1"/>
    <col min="2" max="2" width="50.16015625" style="490" customWidth="1"/>
    <col min="3" max="3" width="16.33203125" style="490" customWidth="1"/>
    <col min="4" max="4" width="20" style="491" customWidth="1"/>
    <col min="5" max="5" width="42.83203125" style="490" hidden="1" customWidth="1"/>
    <col min="6" max="16384" width="9.33203125" style="490" customWidth="1"/>
  </cols>
  <sheetData>
    <row r="1" spans="1:6" s="67" customFormat="1" ht="12.75">
      <c r="A1" s="858"/>
      <c r="B1" s="1126"/>
      <c r="C1" s="858"/>
      <c r="D1" s="856" t="s">
        <v>402</v>
      </c>
      <c r="F1" s="68"/>
    </row>
    <row r="2" spans="1:6" s="67" customFormat="1" ht="12.75">
      <c r="A2" s="69"/>
      <c r="B2" s="69"/>
      <c r="C2" s="69"/>
      <c r="D2" s="856" t="s">
        <v>758</v>
      </c>
      <c r="E2" s="69"/>
      <c r="F2" s="69"/>
    </row>
    <row r="3" spans="1:6" s="67" customFormat="1" ht="11.25">
      <c r="A3" s="857"/>
      <c r="B3" s="857"/>
      <c r="C3" s="857"/>
      <c r="D3" s="857" t="s">
        <v>307</v>
      </c>
      <c r="E3" s="69"/>
      <c r="F3" s="69"/>
    </row>
    <row r="4" spans="1:6" s="67" customFormat="1" ht="11.25">
      <c r="A4" s="857"/>
      <c r="B4" s="857"/>
      <c r="C4" s="857"/>
      <c r="D4" s="236" t="s">
        <v>428</v>
      </c>
      <c r="E4" s="69"/>
      <c r="F4" s="69"/>
    </row>
    <row r="5" spans="1:6" ht="12.75">
      <c r="A5" s="488"/>
      <c r="B5" s="488"/>
      <c r="C5" s="488"/>
      <c r="D5" s="488"/>
      <c r="E5" s="489"/>
      <c r="F5" s="489"/>
    </row>
    <row r="6" spans="1:4" ht="15" customHeight="1">
      <c r="A6" s="1256" t="s">
        <v>711</v>
      </c>
      <c r="B6" s="1256"/>
      <c r="C6" s="1256"/>
      <c r="D6" s="1256"/>
    </row>
    <row r="7" ht="12.75">
      <c r="D7" s="70" t="s">
        <v>413</v>
      </c>
    </row>
    <row r="8" spans="1:4" ht="15" customHeight="1">
      <c r="A8" s="1255" t="s">
        <v>661</v>
      </c>
      <c r="B8" s="1255" t="s">
        <v>286</v>
      </c>
      <c r="C8" s="1257" t="s">
        <v>287</v>
      </c>
      <c r="D8" s="1258" t="s">
        <v>712</v>
      </c>
    </row>
    <row r="9" spans="1:4" ht="15" customHeight="1">
      <c r="A9" s="1255"/>
      <c r="B9" s="1255"/>
      <c r="C9" s="1255"/>
      <c r="D9" s="1258"/>
    </row>
    <row r="10" spans="1:4" ht="15.75" customHeight="1">
      <c r="A10" s="1255"/>
      <c r="B10" s="1255"/>
      <c r="C10" s="1255"/>
      <c r="D10" s="1258"/>
    </row>
    <row r="11" spans="1:4" s="74" customFormat="1" ht="6.75" customHeight="1">
      <c r="A11" s="72">
        <v>1</v>
      </c>
      <c r="B11" s="72">
        <v>2</v>
      </c>
      <c r="C11" s="72">
        <v>3</v>
      </c>
      <c r="D11" s="73">
        <v>4</v>
      </c>
    </row>
    <row r="12" spans="1:4" s="74" customFormat="1" ht="18.75" customHeight="1">
      <c r="A12" s="492" t="s">
        <v>288</v>
      </c>
      <c r="B12" s="493" t="s">
        <v>289</v>
      </c>
      <c r="C12" s="72"/>
      <c r="D12" s="987">
        <v>54386934.95</v>
      </c>
    </row>
    <row r="13" spans="1:4" s="74" customFormat="1" ht="18.75" customHeight="1">
      <c r="A13" s="492" t="s">
        <v>290</v>
      </c>
      <c r="B13" s="493" t="s">
        <v>291</v>
      </c>
      <c r="C13" s="72"/>
      <c r="D13" s="987">
        <v>48030012.79</v>
      </c>
    </row>
    <row r="14" spans="1:4" s="77" customFormat="1" ht="18.75" customHeight="1">
      <c r="A14" s="71" t="s">
        <v>292</v>
      </c>
      <c r="B14" s="75" t="s">
        <v>275</v>
      </c>
      <c r="C14" s="76"/>
      <c r="D14" s="957">
        <f>D12-D13</f>
        <v>6356922.160000004</v>
      </c>
    </row>
    <row r="15" spans="1:4" s="78" customFormat="1" ht="7.5" customHeight="1">
      <c r="A15" s="1252"/>
      <c r="B15" s="1252"/>
      <c r="C15" s="1252"/>
      <c r="D15" s="1252"/>
    </row>
    <row r="16" spans="1:4" ht="18.75" customHeight="1">
      <c r="A16" s="1253" t="s">
        <v>293</v>
      </c>
      <c r="B16" s="1253"/>
      <c r="C16" s="859"/>
      <c r="D16" s="958">
        <f>D17+G18+D19+D20+D21+D22+D23+D24+D25</f>
        <v>1043828.52</v>
      </c>
    </row>
    <row r="17" spans="1:4" ht="21" customHeight="1">
      <c r="A17" s="497" t="s">
        <v>288</v>
      </c>
      <c r="B17" s="861" t="s">
        <v>178</v>
      </c>
      <c r="C17" s="497" t="s">
        <v>294</v>
      </c>
      <c r="D17" s="959">
        <v>0</v>
      </c>
    </row>
    <row r="18" spans="1:4" ht="20.25" customHeight="1">
      <c r="A18" s="497" t="s">
        <v>290</v>
      </c>
      <c r="B18" s="861" t="s">
        <v>179</v>
      </c>
      <c r="C18" s="497" t="s">
        <v>294</v>
      </c>
      <c r="D18" s="959">
        <v>0</v>
      </c>
    </row>
    <row r="19" spans="1:4" ht="27" customHeight="1">
      <c r="A19" s="862" t="s">
        <v>292</v>
      </c>
      <c r="B19" s="863" t="s">
        <v>692</v>
      </c>
      <c r="C19" s="862" t="s">
        <v>295</v>
      </c>
      <c r="D19" s="960">
        <v>0</v>
      </c>
    </row>
    <row r="20" spans="1:4" ht="18.75" customHeight="1">
      <c r="A20" s="862" t="s">
        <v>297</v>
      </c>
      <c r="B20" s="864" t="s">
        <v>298</v>
      </c>
      <c r="C20" s="862" t="s">
        <v>299</v>
      </c>
      <c r="D20" s="960">
        <v>0</v>
      </c>
    </row>
    <row r="21" spans="1:4" ht="18.75" customHeight="1">
      <c r="A21" s="862" t="s">
        <v>898</v>
      </c>
      <c r="B21" s="864" t="s">
        <v>899</v>
      </c>
      <c r="C21" s="862" t="s">
        <v>900</v>
      </c>
      <c r="D21" s="960">
        <v>0</v>
      </c>
    </row>
    <row r="22" spans="1:4" ht="18.75" customHeight="1">
      <c r="A22" s="862" t="s">
        <v>901</v>
      </c>
      <c r="B22" s="864" t="s">
        <v>902</v>
      </c>
      <c r="C22" s="862" t="s">
        <v>903</v>
      </c>
      <c r="D22" s="960">
        <v>0</v>
      </c>
    </row>
    <row r="23" spans="1:4" ht="18.75" customHeight="1">
      <c r="A23" s="862" t="s">
        <v>904</v>
      </c>
      <c r="B23" s="864" t="s">
        <v>905</v>
      </c>
      <c r="C23" s="862" t="s">
        <v>906</v>
      </c>
      <c r="D23" s="960">
        <v>0</v>
      </c>
    </row>
    <row r="24" spans="1:4" ht="18.75" customHeight="1">
      <c r="A24" s="862" t="s">
        <v>823</v>
      </c>
      <c r="B24" s="864" t="s">
        <v>687</v>
      </c>
      <c r="C24" s="862" t="s">
        <v>426</v>
      </c>
      <c r="D24" s="960">
        <v>1043828.52</v>
      </c>
    </row>
    <row r="25" spans="1:4" ht="18.75" customHeight="1">
      <c r="A25" s="862" t="s">
        <v>180</v>
      </c>
      <c r="B25" s="864" t="s">
        <v>427</v>
      </c>
      <c r="C25" s="862" t="s">
        <v>907</v>
      </c>
      <c r="D25" s="960">
        <v>0</v>
      </c>
    </row>
    <row r="26" spans="1:4" ht="18.75" customHeight="1">
      <c r="A26" s="1254" t="s">
        <v>908</v>
      </c>
      <c r="B26" s="1254"/>
      <c r="C26" s="860"/>
      <c r="D26" s="961">
        <f>D27+D28+D29+D30+D31+D32+D33+D34</f>
        <v>7400750.68</v>
      </c>
    </row>
    <row r="27" spans="1:4" ht="41.25" customHeight="1">
      <c r="A27" s="492" t="s">
        <v>288</v>
      </c>
      <c r="B27" s="234" t="s">
        <v>747</v>
      </c>
      <c r="C27" s="495" t="s">
        <v>909</v>
      </c>
      <c r="D27" s="959">
        <v>77252</v>
      </c>
    </row>
    <row r="28" spans="1:4" ht="38.25">
      <c r="A28" s="492" t="s">
        <v>290</v>
      </c>
      <c r="B28" s="669" t="s">
        <v>714</v>
      </c>
      <c r="C28" s="670" t="s">
        <v>909</v>
      </c>
      <c r="D28" s="962">
        <v>1629628</v>
      </c>
    </row>
    <row r="29" spans="1:4" ht="38.25">
      <c r="A29" s="492" t="s">
        <v>292</v>
      </c>
      <c r="B29" s="669" t="s">
        <v>675</v>
      </c>
      <c r="C29" s="670" t="s">
        <v>909</v>
      </c>
      <c r="D29" s="962">
        <v>1650000</v>
      </c>
    </row>
    <row r="30" spans="1:5" ht="38.25">
      <c r="A30" s="492" t="s">
        <v>297</v>
      </c>
      <c r="B30" s="669" t="s">
        <v>750</v>
      </c>
      <c r="C30" s="670" t="s">
        <v>910</v>
      </c>
      <c r="D30" s="962">
        <v>4043870.68</v>
      </c>
      <c r="E30" s="357" t="s">
        <v>713</v>
      </c>
    </row>
    <row r="31" spans="1:4" ht="18.75" customHeight="1">
      <c r="A31" s="492" t="s">
        <v>898</v>
      </c>
      <c r="B31" s="493" t="s">
        <v>911</v>
      </c>
      <c r="C31" s="495" t="s">
        <v>1</v>
      </c>
      <c r="D31" s="959">
        <v>0</v>
      </c>
    </row>
    <row r="32" spans="1:4" ht="18.75" customHeight="1">
      <c r="A32" s="492" t="s">
        <v>901</v>
      </c>
      <c r="B32" s="493" t="s">
        <v>2</v>
      </c>
      <c r="C32" s="495" t="s">
        <v>365</v>
      </c>
      <c r="D32" s="959">
        <v>0</v>
      </c>
    </row>
    <row r="33" spans="1:4" ht="18.75" customHeight="1">
      <c r="A33" s="496" t="s">
        <v>904</v>
      </c>
      <c r="B33" s="493" t="s">
        <v>366</v>
      </c>
      <c r="C33" s="495" t="s">
        <v>367</v>
      </c>
      <c r="D33" s="959">
        <v>0</v>
      </c>
    </row>
    <row r="34" spans="1:4" ht="18.75" customHeight="1">
      <c r="A34" s="497" t="s">
        <v>823</v>
      </c>
      <c r="B34" s="498" t="s">
        <v>368</v>
      </c>
      <c r="C34" s="495" t="s">
        <v>369</v>
      </c>
      <c r="D34" s="959">
        <v>0</v>
      </c>
    </row>
    <row r="35" spans="1:4" ht="18.75" customHeight="1">
      <c r="A35" s="1254" t="s">
        <v>370</v>
      </c>
      <c r="B35" s="1255"/>
      <c r="C35" s="494"/>
      <c r="D35" s="963">
        <f>D14+D16-D26</f>
        <v>0</v>
      </c>
    </row>
    <row r="36" spans="1:4" ht="12.75">
      <c r="A36" s="79"/>
      <c r="B36" s="80"/>
      <c r="C36" s="80"/>
      <c r="D36" s="81"/>
    </row>
  </sheetData>
  <mergeCells count="9">
    <mergeCell ref="A6:D6"/>
    <mergeCell ref="A8:A10"/>
    <mergeCell ref="B8:B10"/>
    <mergeCell ref="C8:C10"/>
    <mergeCell ref="D8:D10"/>
    <mergeCell ref="A15:D15"/>
    <mergeCell ref="A16:B16"/>
    <mergeCell ref="A26:B26"/>
    <mergeCell ref="A35:B3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2" sqref="A12:IV12"/>
    </sheetView>
  </sheetViews>
  <sheetFormatPr defaultColWidth="9.33203125" defaultRowHeight="12.75"/>
  <cols>
    <col min="1" max="1" width="12.5" style="0" customWidth="1"/>
    <col min="4" max="4" width="9.83203125" style="0" bestFit="1" customWidth="1"/>
    <col min="5" max="5" width="18.83203125" style="0" customWidth="1"/>
    <col min="8" max="8" width="16.66015625" style="0" customWidth="1"/>
  </cols>
  <sheetData>
    <row r="1" ht="12.75">
      <c r="H1" s="856" t="s">
        <v>815</v>
      </c>
    </row>
    <row r="2" ht="12.75">
      <c r="H2" s="856" t="s">
        <v>795</v>
      </c>
    </row>
    <row r="3" spans="1:8" s="247" customFormat="1" ht="12.75">
      <c r="A3" s="865"/>
      <c r="B3" s="865"/>
      <c r="C3" s="865"/>
      <c r="D3" s="865"/>
      <c r="E3" s="865"/>
      <c r="F3" s="865"/>
      <c r="G3" s="865"/>
      <c r="H3" s="857" t="s">
        <v>749</v>
      </c>
    </row>
    <row r="4" s="247" customFormat="1" ht="12.75">
      <c r="H4" s="236" t="s">
        <v>428</v>
      </c>
    </row>
    <row r="5" s="239" customFormat="1" ht="15">
      <c r="A5" s="238"/>
    </row>
    <row r="6" s="239" customFormat="1" ht="15">
      <c r="A6" s="262"/>
    </row>
    <row r="7" spans="1:8" s="237" customFormat="1" ht="67.5" customHeight="1">
      <c r="A7" s="1265" t="s">
        <v>0</v>
      </c>
      <c r="B7" s="1265"/>
      <c r="C7" s="1265"/>
      <c r="D7" s="1265"/>
      <c r="E7" s="1265"/>
      <c r="F7" s="1265"/>
      <c r="G7" s="1265"/>
      <c r="H7" s="1265"/>
    </row>
    <row r="8" s="239" customFormat="1" ht="15">
      <c r="A8" s="238"/>
    </row>
    <row r="9" spans="1:8" s="239" customFormat="1" ht="15.75" thickBot="1">
      <c r="A9" s="238"/>
      <c r="H9" s="263" t="s">
        <v>413</v>
      </c>
    </row>
    <row r="10" spans="1:8" s="239" customFormat="1" ht="15">
      <c r="A10" s="1268" t="s">
        <v>289</v>
      </c>
      <c r="B10" s="1269"/>
      <c r="C10" s="1269"/>
      <c r="D10" s="1270"/>
      <c r="E10" s="1268" t="s">
        <v>291</v>
      </c>
      <c r="F10" s="1269"/>
      <c r="G10" s="1269"/>
      <c r="H10" s="1270"/>
    </row>
    <row r="11" spans="1:8" s="83" customFormat="1" ht="84" customHeight="1">
      <c r="A11" s="243" t="s">
        <v>397</v>
      </c>
      <c r="B11" s="244" t="s">
        <v>414</v>
      </c>
      <c r="C11" s="244" t="s">
        <v>662</v>
      </c>
      <c r="D11" s="245" t="s">
        <v>398</v>
      </c>
      <c r="E11" s="243" t="s">
        <v>399</v>
      </c>
      <c r="F11" s="244" t="s">
        <v>414</v>
      </c>
      <c r="G11" s="244" t="s">
        <v>662</v>
      </c>
      <c r="H11" s="245" t="s">
        <v>398</v>
      </c>
    </row>
    <row r="12" spans="1:9" s="239" customFormat="1" ht="15">
      <c r="A12" s="240"/>
      <c r="B12" s="241">
        <v>756</v>
      </c>
      <c r="C12" s="242">
        <v>75618</v>
      </c>
      <c r="D12" s="1008">
        <v>291870</v>
      </c>
      <c r="E12" s="240"/>
      <c r="F12" s="260">
        <v>851</v>
      </c>
      <c r="G12" s="260">
        <v>85154</v>
      </c>
      <c r="H12" s="1009">
        <v>360053</v>
      </c>
      <c r="I12" s="995"/>
    </row>
    <row r="13" spans="1:8" s="83" customFormat="1" ht="60" customHeight="1">
      <c r="A13" s="978"/>
      <c r="B13" s="979"/>
      <c r="C13" s="979"/>
      <c r="D13" s="980"/>
      <c r="E13" s="243" t="s">
        <v>400</v>
      </c>
      <c r="F13" s="244" t="s">
        <v>414</v>
      </c>
      <c r="G13" s="244" t="s">
        <v>662</v>
      </c>
      <c r="H13" s="245" t="s">
        <v>398</v>
      </c>
    </row>
    <row r="14" spans="1:8" s="239" customFormat="1" ht="15.75" thickBot="1">
      <c r="A14" s="1266"/>
      <c r="B14" s="1267"/>
      <c r="C14" s="1267"/>
      <c r="D14" s="981"/>
      <c r="E14" s="246"/>
      <c r="F14" s="261">
        <v>851</v>
      </c>
      <c r="G14" s="261">
        <v>85153</v>
      </c>
      <c r="H14" s="969">
        <f>UM!G251</f>
        <v>10000</v>
      </c>
    </row>
    <row r="15" spans="1:8" s="239" customFormat="1" ht="15.75" thickBot="1">
      <c r="A15" s="1263" t="s">
        <v>419</v>
      </c>
      <c r="B15" s="1264"/>
      <c r="C15" s="1264"/>
      <c r="D15" s="986">
        <f>SUM(D12:D14)</f>
        <v>291870</v>
      </c>
      <c r="E15" s="964"/>
      <c r="F15" s="965"/>
      <c r="G15" s="965"/>
      <c r="H15" s="966">
        <f>SUM(H12+H14)</f>
        <v>370053</v>
      </c>
    </row>
    <row r="16" spans="1:8" s="985" customFormat="1" ht="15">
      <c r="A16" s="982"/>
      <c r="B16" s="982"/>
      <c r="C16" s="982"/>
      <c r="D16" s="984"/>
      <c r="E16" s="982"/>
      <c r="F16" s="982"/>
      <c r="G16" s="982"/>
      <c r="H16" s="983"/>
    </row>
    <row r="17" spans="1:4" s="239" customFormat="1" ht="30" customHeight="1">
      <c r="A17" s="1259" t="s">
        <v>357</v>
      </c>
      <c r="B17" s="1259"/>
      <c r="C17" s="1259"/>
      <c r="D17" s="967">
        <v>78183</v>
      </c>
    </row>
    <row r="18" spans="1:4" s="239" customFormat="1" ht="15">
      <c r="A18" s="1260" t="s">
        <v>748</v>
      </c>
      <c r="B18" s="1261"/>
      <c r="C18" s="1262"/>
      <c r="D18" s="968">
        <f>D15+D17</f>
        <v>370053</v>
      </c>
    </row>
  </sheetData>
  <mergeCells count="7">
    <mergeCell ref="A17:C17"/>
    <mergeCell ref="A18:C18"/>
    <mergeCell ref="A15:C15"/>
    <mergeCell ref="A7:H7"/>
    <mergeCell ref="A14:C14"/>
    <mergeCell ref="A10:D10"/>
    <mergeCell ref="E10:H10"/>
  </mergeCells>
  <printOptions horizontalCentered="1"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6"/>
  <sheetViews>
    <sheetView workbookViewId="0" topLeftCell="D13">
      <selection activeCell="E19" sqref="E19"/>
    </sheetView>
  </sheetViews>
  <sheetFormatPr defaultColWidth="9.33203125" defaultRowHeight="12.75"/>
  <cols>
    <col min="1" max="1" width="4.5" style="1" customWidth="1"/>
    <col min="2" max="2" width="6.66015625" style="1" customWidth="1"/>
    <col min="3" max="3" width="26.66015625" style="1" customWidth="1"/>
    <col min="4" max="4" width="4.83203125" style="1" customWidth="1"/>
    <col min="5" max="5" width="27.5" style="1" customWidth="1"/>
    <col min="6" max="6" width="12.5" style="590" customWidth="1"/>
    <col min="7" max="7" width="14" style="2" customWidth="1"/>
    <col min="8" max="8" width="14" style="3" customWidth="1"/>
    <col min="9" max="9" width="10.5" style="3" customWidth="1"/>
    <col min="10" max="10" width="14" style="3" customWidth="1"/>
    <col min="11" max="11" width="12.83203125" style="3" customWidth="1"/>
    <col min="12" max="12" width="36.5" style="4" bestFit="1" customWidth="1"/>
    <col min="13" max="13" width="83.33203125" style="219" bestFit="1" customWidth="1"/>
    <col min="14" max="14" width="9.5" style="5" customWidth="1"/>
    <col min="15" max="16384" width="9.33203125" style="5" customWidth="1"/>
  </cols>
  <sheetData>
    <row r="1" spans="1:12" ht="12.75">
      <c r="A1" s="1298" t="s">
        <v>815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</row>
    <row r="2" spans="1:13" s="6" customFormat="1" ht="12.75">
      <c r="A2" s="1303" t="s">
        <v>188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219"/>
    </row>
    <row r="3" spans="1:13" s="6" customFormat="1" ht="12.75">
      <c r="A3" s="700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219"/>
    </row>
    <row r="4" spans="1:13" s="6" customFormat="1" ht="14.25">
      <c r="A4" s="1304" t="s">
        <v>214</v>
      </c>
      <c r="B4" s="1304"/>
      <c r="C4" s="1304"/>
      <c r="D4" s="1304"/>
      <c r="E4" s="1304"/>
      <c r="F4" s="1304"/>
      <c r="G4" s="1304"/>
      <c r="H4" s="1304"/>
      <c r="I4" s="1304"/>
      <c r="J4" s="1304"/>
      <c r="K4" s="1304"/>
      <c r="L4" s="1304"/>
      <c r="M4" s="219"/>
    </row>
    <row r="5" spans="1:12" ht="15.75">
      <c r="A5" s="1305" t="s">
        <v>728</v>
      </c>
      <c r="B5" s="1305"/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1" ht="13.5" thickBot="1">
      <c r="A6" s="7"/>
      <c r="B6" s="7"/>
      <c r="C6" s="8"/>
      <c r="D6" s="9"/>
      <c r="E6" s="9"/>
      <c r="F6" s="250"/>
      <c r="G6" s="10"/>
      <c r="H6" s="11"/>
      <c r="I6" s="11"/>
      <c r="K6" s="341" t="s">
        <v>413</v>
      </c>
    </row>
    <row r="7" spans="1:12" ht="13.5" customHeight="1" thickBot="1">
      <c r="A7" s="1194" t="s">
        <v>414</v>
      </c>
      <c r="B7" s="1194" t="s">
        <v>662</v>
      </c>
      <c r="C7" s="1294" t="s">
        <v>416</v>
      </c>
      <c r="D7" s="1243" t="s">
        <v>417</v>
      </c>
      <c r="E7" s="1273" t="s">
        <v>418</v>
      </c>
      <c r="F7" s="1279" t="s">
        <v>479</v>
      </c>
      <c r="G7" s="1301" t="s">
        <v>727</v>
      </c>
      <c r="H7" s="1314" t="s">
        <v>420</v>
      </c>
      <c r="I7" s="1315"/>
      <c r="J7" s="1316"/>
      <c r="K7" s="1315"/>
      <c r="L7" s="1321" t="s">
        <v>676</v>
      </c>
    </row>
    <row r="8" spans="1:12" ht="12.75">
      <c r="A8" s="1194"/>
      <c r="B8" s="1194"/>
      <c r="C8" s="1294"/>
      <c r="D8" s="1243"/>
      <c r="E8" s="1273"/>
      <c r="F8" s="1279"/>
      <c r="G8" s="1302"/>
      <c r="H8" s="1312" t="s">
        <v>421</v>
      </c>
      <c r="I8" s="536" t="s">
        <v>420</v>
      </c>
      <c r="J8" s="1312" t="s">
        <v>422</v>
      </c>
      <c r="K8" s="339" t="s">
        <v>420</v>
      </c>
      <c r="L8" s="1322"/>
    </row>
    <row r="9" spans="1:13" ht="84" customHeight="1">
      <c r="A9" s="1194"/>
      <c r="B9" s="1194"/>
      <c r="C9" s="1294"/>
      <c r="D9" s="1243"/>
      <c r="E9" s="1273"/>
      <c r="F9" s="1279"/>
      <c r="G9" s="1302"/>
      <c r="H9" s="1313"/>
      <c r="I9" s="537" t="s">
        <v>566</v>
      </c>
      <c r="J9" s="1313"/>
      <c r="K9" s="535" t="s">
        <v>567</v>
      </c>
      <c r="L9" s="1323"/>
      <c r="M9" s="219" t="s">
        <v>565</v>
      </c>
    </row>
    <row r="10" spans="1:13" s="12" customFormat="1" ht="7.5" customHeight="1">
      <c r="A10" s="324">
        <v>1</v>
      </c>
      <c r="B10" s="324">
        <v>2</v>
      </c>
      <c r="C10" s="324">
        <v>3</v>
      </c>
      <c r="D10" s="324">
        <v>4</v>
      </c>
      <c r="E10" s="325">
        <v>5</v>
      </c>
      <c r="F10" s="749">
        <v>6</v>
      </c>
      <c r="G10" s="327">
        <v>7</v>
      </c>
      <c r="H10" s="340">
        <v>8</v>
      </c>
      <c r="I10" s="745">
        <v>9</v>
      </c>
      <c r="J10" s="340">
        <v>10</v>
      </c>
      <c r="K10" s="326">
        <v>11</v>
      </c>
      <c r="L10" s="323">
        <v>12</v>
      </c>
      <c r="M10" s="220"/>
    </row>
    <row r="11" spans="1:13" s="13" customFormat="1" ht="38.25">
      <c r="A11" s="264">
        <v>400</v>
      </c>
      <c r="B11" s="264">
        <v>40002</v>
      </c>
      <c r="C11" s="293" t="s">
        <v>423</v>
      </c>
      <c r="D11" s="534" t="s">
        <v>880</v>
      </c>
      <c r="E11" s="540" t="s">
        <v>881</v>
      </c>
      <c r="F11" s="570">
        <v>300000</v>
      </c>
      <c r="G11" s="348">
        <v>0</v>
      </c>
      <c r="H11" s="571">
        <f>G11-J11</f>
        <v>0</v>
      </c>
      <c r="I11" s="746">
        <v>0</v>
      </c>
      <c r="J11" s="571">
        <v>0</v>
      </c>
      <c r="K11" s="569">
        <v>0</v>
      </c>
      <c r="L11" s="306">
        <f>G11/F11</f>
        <v>0</v>
      </c>
      <c r="M11" s="357" t="s">
        <v>497</v>
      </c>
    </row>
    <row r="12" spans="1:13" s="205" customFormat="1" ht="78.75" customHeight="1">
      <c r="A12" s="346"/>
      <c r="B12" s="346"/>
      <c r="C12" s="646"/>
      <c r="D12" s="534" t="s">
        <v>731</v>
      </c>
      <c r="E12" s="540" t="s">
        <v>616</v>
      </c>
      <c r="F12" s="570">
        <v>0</v>
      </c>
      <c r="G12" s="348">
        <v>150000</v>
      </c>
      <c r="H12" s="571">
        <f>G12-J12</f>
        <v>0</v>
      </c>
      <c r="I12" s="746">
        <v>0</v>
      </c>
      <c r="J12" s="571">
        <f>G12</f>
        <v>150000</v>
      </c>
      <c r="K12" s="569">
        <v>0</v>
      </c>
      <c r="L12" s="643"/>
      <c r="M12" s="357" t="s">
        <v>497</v>
      </c>
    </row>
    <row r="13" spans="1:13" s="13" customFormat="1" ht="12.75">
      <c r="A13" s="307"/>
      <c r="B13" s="307">
        <v>40002</v>
      </c>
      <c r="C13" s="308" t="s">
        <v>882</v>
      </c>
      <c r="D13" s="309"/>
      <c r="E13" s="538"/>
      <c r="F13" s="750">
        <f aca="true" t="shared" si="0" ref="F13:K13">SUM(F11:F12)</f>
        <v>300000</v>
      </c>
      <c r="G13" s="349">
        <f t="shared" si="0"/>
        <v>150000</v>
      </c>
      <c r="H13" s="349">
        <f t="shared" si="0"/>
        <v>0</v>
      </c>
      <c r="I13" s="577">
        <f t="shared" si="0"/>
        <v>0</v>
      </c>
      <c r="J13" s="349">
        <f t="shared" si="0"/>
        <v>150000</v>
      </c>
      <c r="K13" s="572">
        <f t="shared" si="0"/>
        <v>0</v>
      </c>
      <c r="L13" s="310">
        <f aca="true" t="shared" si="1" ref="L13:L45">G13/F13</f>
        <v>0.5</v>
      </c>
      <c r="M13" s="357"/>
    </row>
    <row r="14" spans="1:13" s="13" customFormat="1" ht="12.75" customHeight="1">
      <c r="A14" s="291">
        <v>400</v>
      </c>
      <c r="B14" s="291"/>
      <c r="C14" s="311" t="s">
        <v>883</v>
      </c>
      <c r="D14" s="312"/>
      <c r="E14" s="539"/>
      <c r="F14" s="588">
        <f aca="true" t="shared" si="2" ref="F14:K14">F13</f>
        <v>300000</v>
      </c>
      <c r="G14" s="350">
        <f t="shared" si="2"/>
        <v>150000</v>
      </c>
      <c r="H14" s="350">
        <f t="shared" si="2"/>
        <v>0</v>
      </c>
      <c r="I14" s="575">
        <f t="shared" si="2"/>
        <v>0</v>
      </c>
      <c r="J14" s="350">
        <f t="shared" si="2"/>
        <v>150000</v>
      </c>
      <c r="K14" s="573">
        <f t="shared" si="2"/>
        <v>0</v>
      </c>
      <c r="L14" s="313">
        <f t="shared" si="1"/>
        <v>0.5</v>
      </c>
      <c r="M14" s="357"/>
    </row>
    <row r="15" spans="1:13" s="13" customFormat="1" ht="25.5">
      <c r="A15" s="264">
        <v>700</v>
      </c>
      <c r="B15" s="264">
        <v>70004</v>
      </c>
      <c r="C15" s="293" t="s">
        <v>884</v>
      </c>
      <c r="D15" s="534" t="s">
        <v>885</v>
      </c>
      <c r="E15" s="540" t="s">
        <v>886</v>
      </c>
      <c r="F15" s="570">
        <v>230000</v>
      </c>
      <c r="G15" s="348">
        <v>300000</v>
      </c>
      <c r="H15" s="571">
        <f>G15-J15</f>
        <v>300000</v>
      </c>
      <c r="I15" s="746">
        <v>0</v>
      </c>
      <c r="J15" s="571">
        <v>0</v>
      </c>
      <c r="K15" s="569">
        <v>0</v>
      </c>
      <c r="L15" s="306">
        <f t="shared" si="1"/>
        <v>1.3043478260869565</v>
      </c>
      <c r="M15" s="357" t="s">
        <v>784</v>
      </c>
    </row>
    <row r="16" spans="1:13" s="13" customFormat="1" ht="12.75" customHeight="1">
      <c r="A16" s="264"/>
      <c r="B16" s="264"/>
      <c r="C16" s="293"/>
      <c r="D16" s="534" t="s">
        <v>878</v>
      </c>
      <c r="E16" s="540" t="s">
        <v>879</v>
      </c>
      <c r="F16" s="570">
        <v>1500</v>
      </c>
      <c r="G16" s="348">
        <v>2000</v>
      </c>
      <c r="H16" s="571">
        <f>G16-J16</f>
        <v>2000</v>
      </c>
      <c r="I16" s="746">
        <v>0</v>
      </c>
      <c r="J16" s="571">
        <v>0</v>
      </c>
      <c r="K16" s="569">
        <v>0</v>
      </c>
      <c r="L16" s="306">
        <f t="shared" si="1"/>
        <v>1.3333333333333333</v>
      </c>
      <c r="M16" s="357" t="s">
        <v>137</v>
      </c>
    </row>
    <row r="17" spans="1:13" s="13" customFormat="1" ht="12.75">
      <c r="A17" s="307"/>
      <c r="B17" s="307">
        <v>70004</v>
      </c>
      <c r="C17" s="308" t="s">
        <v>882</v>
      </c>
      <c r="D17" s="309"/>
      <c r="E17" s="538"/>
      <c r="F17" s="750">
        <f aca="true" t="shared" si="3" ref="F17:K17">SUM(F15:F16)</f>
        <v>231500</v>
      </c>
      <c r="G17" s="349">
        <f t="shared" si="3"/>
        <v>302000</v>
      </c>
      <c r="H17" s="349">
        <f t="shared" si="3"/>
        <v>302000</v>
      </c>
      <c r="I17" s="577">
        <f t="shared" si="3"/>
        <v>0</v>
      </c>
      <c r="J17" s="349">
        <f t="shared" si="3"/>
        <v>0</v>
      </c>
      <c r="K17" s="572">
        <f t="shared" si="3"/>
        <v>0</v>
      </c>
      <c r="L17" s="310">
        <f t="shared" si="1"/>
        <v>1.304535637149028</v>
      </c>
      <c r="M17" s="357"/>
    </row>
    <row r="18" spans="1:13" s="13" customFormat="1" ht="38.25">
      <c r="A18" s="264">
        <v>700</v>
      </c>
      <c r="B18" s="264">
        <v>70005</v>
      </c>
      <c r="C18" s="315" t="s">
        <v>887</v>
      </c>
      <c r="D18" s="534" t="s">
        <v>888</v>
      </c>
      <c r="E18" s="540" t="s">
        <v>889</v>
      </c>
      <c r="F18" s="570">
        <v>86300</v>
      </c>
      <c r="G18" s="348">
        <v>115000</v>
      </c>
      <c r="H18" s="571">
        <f>G18-J18</f>
        <v>115000</v>
      </c>
      <c r="I18" s="746">
        <v>0</v>
      </c>
      <c r="J18" s="571">
        <v>0</v>
      </c>
      <c r="K18" s="569">
        <v>0</v>
      </c>
      <c r="L18" s="306">
        <f t="shared" si="1"/>
        <v>1.3325608342989572</v>
      </c>
      <c r="M18" s="357" t="s">
        <v>138</v>
      </c>
    </row>
    <row r="19" spans="1:13" s="13" customFormat="1" ht="51">
      <c r="A19" s="264"/>
      <c r="B19" s="264"/>
      <c r="C19" s="293"/>
      <c r="D19" s="534" t="s">
        <v>885</v>
      </c>
      <c r="E19" s="540" t="s">
        <v>265</v>
      </c>
      <c r="F19" s="570">
        <v>386000</v>
      </c>
      <c r="G19" s="348">
        <v>406400</v>
      </c>
      <c r="H19" s="571">
        <f>G19-J19</f>
        <v>406400</v>
      </c>
      <c r="I19" s="746">
        <v>0</v>
      </c>
      <c r="J19" s="571">
        <v>0</v>
      </c>
      <c r="K19" s="569">
        <v>0</v>
      </c>
      <c r="L19" s="306">
        <f t="shared" si="1"/>
        <v>1.0528497409326425</v>
      </c>
      <c r="M19" s="357" t="s">
        <v>335</v>
      </c>
    </row>
    <row r="20" spans="1:13" s="13" customFormat="1" ht="66.75" customHeight="1">
      <c r="A20" s="264"/>
      <c r="B20" s="264"/>
      <c r="C20" s="293"/>
      <c r="D20" s="644" t="s">
        <v>270</v>
      </c>
      <c r="E20" s="544" t="s">
        <v>83</v>
      </c>
      <c r="F20" s="570">
        <v>42982</v>
      </c>
      <c r="G20" s="348">
        <v>50000</v>
      </c>
      <c r="H20" s="571">
        <f>G20-J20</f>
        <v>0</v>
      </c>
      <c r="I20" s="746">
        <v>0</v>
      </c>
      <c r="J20" s="571">
        <f>G20</f>
        <v>50000</v>
      </c>
      <c r="K20" s="569">
        <v>0</v>
      </c>
      <c r="L20" s="306">
        <f t="shared" si="1"/>
        <v>1.1632776511097669</v>
      </c>
      <c r="M20" s="357" t="s">
        <v>139</v>
      </c>
    </row>
    <row r="21" spans="1:13" s="13" customFormat="1" ht="51">
      <c r="A21" s="264"/>
      <c r="B21" s="264"/>
      <c r="C21" s="293"/>
      <c r="D21" s="688" t="s">
        <v>890</v>
      </c>
      <c r="E21" s="645" t="s">
        <v>891</v>
      </c>
      <c r="F21" s="570">
        <v>9125366</v>
      </c>
      <c r="G21" s="348">
        <v>6000000</v>
      </c>
      <c r="H21" s="571">
        <f>G21-J21</f>
        <v>0</v>
      </c>
      <c r="I21" s="746">
        <v>0</v>
      </c>
      <c r="J21" s="571">
        <f>G21</f>
        <v>6000000</v>
      </c>
      <c r="K21" s="569">
        <v>0</v>
      </c>
      <c r="L21" s="306">
        <f t="shared" si="1"/>
        <v>0.6575078742047168</v>
      </c>
      <c r="M21" s="357" t="s">
        <v>544</v>
      </c>
    </row>
    <row r="22" spans="1:13" s="13" customFormat="1" ht="12.75" customHeight="1">
      <c r="A22" s="264"/>
      <c r="B22" s="264"/>
      <c r="C22" s="293"/>
      <c r="D22" s="644" t="s">
        <v>878</v>
      </c>
      <c r="E22" s="544" t="s">
        <v>879</v>
      </c>
      <c r="F22" s="570">
        <v>8000</v>
      </c>
      <c r="G22" s="348">
        <v>7000</v>
      </c>
      <c r="H22" s="571">
        <f>G22-J22</f>
        <v>7000</v>
      </c>
      <c r="I22" s="746">
        <v>0</v>
      </c>
      <c r="J22" s="571">
        <v>0</v>
      </c>
      <c r="K22" s="569">
        <v>0</v>
      </c>
      <c r="L22" s="306">
        <f t="shared" si="1"/>
        <v>0.875</v>
      </c>
      <c r="M22" s="357" t="s">
        <v>782</v>
      </c>
    </row>
    <row r="23" spans="1:13" s="13" customFormat="1" ht="12.75">
      <c r="A23" s="307"/>
      <c r="B23" s="307">
        <v>70005</v>
      </c>
      <c r="C23" s="308" t="s">
        <v>882</v>
      </c>
      <c r="D23" s="309"/>
      <c r="E23" s="538"/>
      <c r="F23" s="750">
        <f aca="true" t="shared" si="4" ref="F23:K23">SUM(F18:F22)</f>
        <v>9648648</v>
      </c>
      <c r="G23" s="349">
        <f t="shared" si="4"/>
        <v>6578400</v>
      </c>
      <c r="H23" s="349">
        <f t="shared" si="4"/>
        <v>528400</v>
      </c>
      <c r="I23" s="577">
        <f t="shared" si="4"/>
        <v>0</v>
      </c>
      <c r="J23" s="349">
        <f t="shared" si="4"/>
        <v>6050000</v>
      </c>
      <c r="K23" s="572">
        <f t="shared" si="4"/>
        <v>0</v>
      </c>
      <c r="L23" s="310">
        <f t="shared" si="1"/>
        <v>0.6817950038181515</v>
      </c>
      <c r="M23" s="357"/>
    </row>
    <row r="24" spans="1:13" s="13" customFormat="1" ht="12.75">
      <c r="A24" s="291">
        <v>700</v>
      </c>
      <c r="B24" s="291"/>
      <c r="C24" s="292" t="s">
        <v>883</v>
      </c>
      <c r="D24" s="312"/>
      <c r="E24" s="539"/>
      <c r="F24" s="588">
        <f aca="true" t="shared" si="5" ref="F24:K24">F17+F23</f>
        <v>9880148</v>
      </c>
      <c r="G24" s="350">
        <f t="shared" si="5"/>
        <v>6880400</v>
      </c>
      <c r="H24" s="350">
        <f t="shared" si="5"/>
        <v>830400</v>
      </c>
      <c r="I24" s="575">
        <f t="shared" si="5"/>
        <v>0</v>
      </c>
      <c r="J24" s="350">
        <f t="shared" si="5"/>
        <v>6050000</v>
      </c>
      <c r="K24" s="573">
        <f t="shared" si="5"/>
        <v>0</v>
      </c>
      <c r="L24" s="313">
        <f t="shared" si="1"/>
        <v>0.696386329435551</v>
      </c>
      <c r="M24" s="357"/>
    </row>
    <row r="25" spans="1:13" s="13" customFormat="1" ht="76.5">
      <c r="A25" s="264">
        <v>750</v>
      </c>
      <c r="B25" s="264">
        <v>75011</v>
      </c>
      <c r="C25" s="293" t="s">
        <v>892</v>
      </c>
      <c r="D25" s="644" t="s">
        <v>893</v>
      </c>
      <c r="E25" s="689" t="s">
        <v>894</v>
      </c>
      <c r="F25" s="580">
        <v>107473</v>
      </c>
      <c r="G25" s="351">
        <v>107473</v>
      </c>
      <c r="H25" s="585">
        <f>G25-J25</f>
        <v>107473</v>
      </c>
      <c r="I25" s="746">
        <v>0</v>
      </c>
      <c r="J25" s="571">
        <v>0</v>
      </c>
      <c r="K25" s="569">
        <v>0</v>
      </c>
      <c r="L25" s="306">
        <f t="shared" si="1"/>
        <v>1</v>
      </c>
      <c r="M25" s="357"/>
    </row>
    <row r="26" spans="1:14" s="13" customFormat="1" ht="102">
      <c r="A26" s="264"/>
      <c r="B26" s="264"/>
      <c r="C26" s="293"/>
      <c r="D26" s="644" t="s">
        <v>895</v>
      </c>
      <c r="E26" s="544" t="s">
        <v>429</v>
      </c>
      <c r="F26" s="580">
        <v>50</v>
      </c>
      <c r="G26" s="351">
        <v>149</v>
      </c>
      <c r="H26" s="585">
        <f>G26-J26</f>
        <v>149</v>
      </c>
      <c r="I26" s="746">
        <v>0</v>
      </c>
      <c r="J26" s="571">
        <v>0</v>
      </c>
      <c r="K26" s="569">
        <v>0</v>
      </c>
      <c r="L26" s="306">
        <f t="shared" si="1"/>
        <v>2.98</v>
      </c>
      <c r="M26" s="357" t="s">
        <v>779</v>
      </c>
      <c r="N26" s="221"/>
    </row>
    <row r="27" spans="1:13" s="13" customFormat="1" ht="12.75">
      <c r="A27" s="307"/>
      <c r="B27" s="307">
        <v>75011</v>
      </c>
      <c r="C27" s="308" t="s">
        <v>882</v>
      </c>
      <c r="D27" s="309"/>
      <c r="E27" s="538"/>
      <c r="F27" s="750">
        <f aca="true" t="shared" si="6" ref="F27:K27">SUM(F25:F26)</f>
        <v>107523</v>
      </c>
      <c r="G27" s="349">
        <f t="shared" si="6"/>
        <v>107622</v>
      </c>
      <c r="H27" s="349">
        <f t="shared" si="6"/>
        <v>107622</v>
      </c>
      <c r="I27" s="577">
        <f t="shared" si="6"/>
        <v>0</v>
      </c>
      <c r="J27" s="349">
        <f t="shared" si="6"/>
        <v>0</v>
      </c>
      <c r="K27" s="572">
        <f t="shared" si="6"/>
        <v>0</v>
      </c>
      <c r="L27" s="310">
        <f t="shared" si="1"/>
        <v>1.00092073323847</v>
      </c>
      <c r="M27" s="357"/>
    </row>
    <row r="28" spans="1:13" s="13" customFormat="1" ht="25.5">
      <c r="A28" s="264">
        <v>750</v>
      </c>
      <c r="B28" s="264">
        <v>75023</v>
      </c>
      <c r="C28" s="293" t="s">
        <v>896</v>
      </c>
      <c r="D28" s="314" t="s">
        <v>424</v>
      </c>
      <c r="E28" s="541" t="s">
        <v>875</v>
      </c>
      <c r="F28" s="570">
        <v>5500</v>
      </c>
      <c r="G28" s="348">
        <v>15000</v>
      </c>
      <c r="H28" s="585">
        <f>G28-J28</f>
        <v>15000</v>
      </c>
      <c r="I28" s="746">
        <v>0</v>
      </c>
      <c r="J28" s="571">
        <v>0</v>
      </c>
      <c r="K28" s="569">
        <v>0</v>
      </c>
      <c r="L28" s="306">
        <f t="shared" si="1"/>
        <v>2.727272727272727</v>
      </c>
      <c r="M28" s="357" t="s">
        <v>137</v>
      </c>
    </row>
    <row r="29" spans="1:13" s="13" customFormat="1" ht="12.75" customHeight="1">
      <c r="A29" s="264"/>
      <c r="B29" s="264"/>
      <c r="C29" s="293"/>
      <c r="D29" s="314" t="s">
        <v>897</v>
      </c>
      <c r="E29" s="541" t="s">
        <v>50</v>
      </c>
      <c r="F29" s="570">
        <v>15960</v>
      </c>
      <c r="G29" s="352">
        <v>10000</v>
      </c>
      <c r="H29" s="585">
        <f>G29-J29</f>
        <v>10000</v>
      </c>
      <c r="I29" s="746">
        <v>0</v>
      </c>
      <c r="J29" s="571">
        <v>0</v>
      </c>
      <c r="K29" s="569">
        <v>0</v>
      </c>
      <c r="L29" s="306">
        <f t="shared" si="1"/>
        <v>0.6265664160401002</v>
      </c>
      <c r="M29" s="357" t="s">
        <v>285</v>
      </c>
    </row>
    <row r="30" spans="1:13" s="13" customFormat="1" ht="12.75">
      <c r="A30" s="307"/>
      <c r="B30" s="307">
        <v>75023</v>
      </c>
      <c r="C30" s="308" t="s">
        <v>882</v>
      </c>
      <c r="D30" s="309"/>
      <c r="E30" s="538"/>
      <c r="F30" s="750">
        <f aca="true" t="shared" si="7" ref="F30:K30">SUM(F28:F29)</f>
        <v>21460</v>
      </c>
      <c r="G30" s="349">
        <f t="shared" si="7"/>
        <v>25000</v>
      </c>
      <c r="H30" s="349">
        <f t="shared" si="7"/>
        <v>25000</v>
      </c>
      <c r="I30" s="577">
        <f t="shared" si="7"/>
        <v>0</v>
      </c>
      <c r="J30" s="349">
        <f t="shared" si="7"/>
        <v>0</v>
      </c>
      <c r="K30" s="572">
        <f t="shared" si="7"/>
        <v>0</v>
      </c>
      <c r="L30" s="310">
        <f t="shared" si="1"/>
        <v>1.1649580615097856</v>
      </c>
      <c r="M30" s="357"/>
    </row>
    <row r="31" spans="1:13" s="13" customFormat="1" ht="76.5">
      <c r="A31" s="264">
        <v>750</v>
      </c>
      <c r="B31" s="264">
        <v>75056</v>
      </c>
      <c r="C31" s="315" t="s">
        <v>205</v>
      </c>
      <c r="D31" s="644" t="s">
        <v>893</v>
      </c>
      <c r="E31" s="689" t="s">
        <v>894</v>
      </c>
      <c r="F31" s="570">
        <v>9625</v>
      </c>
      <c r="G31" s="348">
        <v>0</v>
      </c>
      <c r="H31" s="585">
        <f>G31-J31</f>
        <v>0</v>
      </c>
      <c r="I31" s="746">
        <v>0</v>
      </c>
      <c r="J31" s="571">
        <v>0</v>
      </c>
      <c r="K31" s="569">
        <v>0</v>
      </c>
      <c r="L31" s="306">
        <f t="shared" si="1"/>
        <v>0</v>
      </c>
      <c r="M31" s="357"/>
    </row>
    <row r="32" spans="1:13" s="13" customFormat="1" ht="12.75">
      <c r="A32" s="307"/>
      <c r="B32" s="307">
        <v>75056</v>
      </c>
      <c r="C32" s="308" t="s">
        <v>882</v>
      </c>
      <c r="D32" s="309"/>
      <c r="E32" s="538"/>
      <c r="F32" s="750">
        <f aca="true" t="shared" si="8" ref="F32:K32">SUM(F31)</f>
        <v>9625</v>
      </c>
      <c r="G32" s="349">
        <f t="shared" si="8"/>
        <v>0</v>
      </c>
      <c r="H32" s="349">
        <f t="shared" si="8"/>
        <v>0</v>
      </c>
      <c r="I32" s="577">
        <f t="shared" si="8"/>
        <v>0</v>
      </c>
      <c r="J32" s="349">
        <f t="shared" si="8"/>
        <v>0</v>
      </c>
      <c r="K32" s="572">
        <f t="shared" si="8"/>
        <v>0</v>
      </c>
      <c r="L32" s="310">
        <f t="shared" si="1"/>
        <v>0</v>
      </c>
      <c r="M32" s="357"/>
    </row>
    <row r="33" spans="1:13" s="13" customFormat="1" ht="38.25">
      <c r="A33" s="264">
        <v>750</v>
      </c>
      <c r="B33" s="264">
        <v>75095</v>
      </c>
      <c r="C33" s="293" t="s">
        <v>51</v>
      </c>
      <c r="D33" s="314" t="s">
        <v>878</v>
      </c>
      <c r="E33" s="548" t="s">
        <v>836</v>
      </c>
      <c r="F33" s="570">
        <v>100000</v>
      </c>
      <c r="G33" s="348">
        <v>50000</v>
      </c>
      <c r="H33" s="585">
        <f>G33-J33</f>
        <v>50000</v>
      </c>
      <c r="I33" s="746">
        <v>0</v>
      </c>
      <c r="J33" s="571">
        <v>0</v>
      </c>
      <c r="K33" s="569">
        <v>0</v>
      </c>
      <c r="L33" s="306">
        <f t="shared" si="1"/>
        <v>0.5</v>
      </c>
      <c r="M33" s="357" t="s">
        <v>285</v>
      </c>
    </row>
    <row r="34" spans="1:13" s="13" customFormat="1" ht="12.75">
      <c r="A34" s="307"/>
      <c r="B34" s="307">
        <v>75095</v>
      </c>
      <c r="C34" s="308" t="s">
        <v>882</v>
      </c>
      <c r="D34" s="309"/>
      <c r="E34" s="538"/>
      <c r="F34" s="750">
        <f aca="true" t="shared" si="9" ref="F34:K34">SUM(F33)</f>
        <v>100000</v>
      </c>
      <c r="G34" s="349">
        <f t="shared" si="9"/>
        <v>50000</v>
      </c>
      <c r="H34" s="349">
        <f t="shared" si="9"/>
        <v>50000</v>
      </c>
      <c r="I34" s="577">
        <f t="shared" si="9"/>
        <v>0</v>
      </c>
      <c r="J34" s="349">
        <f t="shared" si="9"/>
        <v>0</v>
      </c>
      <c r="K34" s="572">
        <f t="shared" si="9"/>
        <v>0</v>
      </c>
      <c r="L34" s="310">
        <f t="shared" si="1"/>
        <v>0.5</v>
      </c>
      <c r="M34" s="357"/>
    </row>
    <row r="35" spans="1:13" s="13" customFormat="1" ht="12.75">
      <c r="A35" s="291">
        <v>750</v>
      </c>
      <c r="B35" s="291"/>
      <c r="C35" s="292" t="s">
        <v>883</v>
      </c>
      <c r="D35" s="312"/>
      <c r="E35" s="539"/>
      <c r="F35" s="588">
        <f aca="true" t="shared" si="10" ref="F35:K35">F27+F30+F32+F34</f>
        <v>238608</v>
      </c>
      <c r="G35" s="350">
        <f t="shared" si="10"/>
        <v>182622</v>
      </c>
      <c r="H35" s="350">
        <f t="shared" si="10"/>
        <v>182622</v>
      </c>
      <c r="I35" s="575">
        <f t="shared" si="10"/>
        <v>0</v>
      </c>
      <c r="J35" s="350">
        <f t="shared" si="10"/>
        <v>0</v>
      </c>
      <c r="K35" s="576">
        <f t="shared" si="10"/>
        <v>0</v>
      </c>
      <c r="L35" s="399">
        <f t="shared" si="1"/>
        <v>0.7653641118487226</v>
      </c>
      <c r="M35" s="357"/>
    </row>
    <row r="36" spans="1:13" s="13" customFormat="1" ht="51">
      <c r="A36" s="264">
        <v>751</v>
      </c>
      <c r="B36" s="264">
        <v>75101</v>
      </c>
      <c r="C36" s="293" t="s">
        <v>53</v>
      </c>
      <c r="D36" s="534" t="s">
        <v>893</v>
      </c>
      <c r="E36" s="540" t="s">
        <v>87</v>
      </c>
      <c r="F36" s="570">
        <v>3021</v>
      </c>
      <c r="G36" s="348">
        <v>3080</v>
      </c>
      <c r="H36" s="585">
        <f>G36-J36</f>
        <v>3080</v>
      </c>
      <c r="I36" s="746">
        <v>0</v>
      </c>
      <c r="J36" s="571">
        <v>0</v>
      </c>
      <c r="K36" s="569">
        <v>0</v>
      </c>
      <c r="L36" s="306">
        <f t="shared" si="1"/>
        <v>1.0195299569678915</v>
      </c>
      <c r="M36" s="357" t="s">
        <v>786</v>
      </c>
    </row>
    <row r="37" spans="1:13" s="13" customFormat="1" ht="12.75">
      <c r="A37" s="307"/>
      <c r="B37" s="307">
        <v>75101</v>
      </c>
      <c r="C37" s="308" t="s">
        <v>882</v>
      </c>
      <c r="D37" s="309"/>
      <c r="E37" s="538"/>
      <c r="F37" s="750">
        <f aca="true" t="shared" si="11" ref="F37:K37">SUM(F36)</f>
        <v>3021</v>
      </c>
      <c r="G37" s="349">
        <f t="shared" si="11"/>
        <v>3080</v>
      </c>
      <c r="H37" s="349">
        <f t="shared" si="11"/>
        <v>3080</v>
      </c>
      <c r="I37" s="577">
        <f t="shared" si="11"/>
        <v>0</v>
      </c>
      <c r="J37" s="349">
        <f t="shared" si="11"/>
        <v>0</v>
      </c>
      <c r="K37" s="572">
        <f t="shared" si="11"/>
        <v>0</v>
      </c>
      <c r="L37" s="310">
        <f t="shared" si="1"/>
        <v>1.0195299569678915</v>
      </c>
      <c r="M37" s="357"/>
    </row>
    <row r="38" spans="1:13" s="13" customFormat="1" ht="76.5">
      <c r="A38" s="264">
        <v>751</v>
      </c>
      <c r="B38" s="264">
        <v>75107</v>
      </c>
      <c r="C38" s="315" t="s">
        <v>206</v>
      </c>
      <c r="D38" s="534" t="s">
        <v>893</v>
      </c>
      <c r="E38" s="689" t="s">
        <v>894</v>
      </c>
      <c r="F38" s="570">
        <v>40205</v>
      </c>
      <c r="G38" s="348">
        <v>0</v>
      </c>
      <c r="H38" s="585">
        <f>G38-J38</f>
        <v>0</v>
      </c>
      <c r="I38" s="746">
        <v>0</v>
      </c>
      <c r="J38" s="571">
        <v>0</v>
      </c>
      <c r="K38" s="569">
        <v>0</v>
      </c>
      <c r="L38" s="306">
        <f t="shared" si="1"/>
        <v>0</v>
      </c>
      <c r="M38" s="357"/>
    </row>
    <row r="39" spans="1:13" s="13" customFormat="1" ht="12.75">
      <c r="A39" s="307"/>
      <c r="B39" s="307">
        <v>75107</v>
      </c>
      <c r="C39" s="308" t="s">
        <v>882</v>
      </c>
      <c r="D39" s="309"/>
      <c r="E39" s="538"/>
      <c r="F39" s="750">
        <f aca="true" t="shared" si="12" ref="F39:K39">SUM(F38)</f>
        <v>40205</v>
      </c>
      <c r="G39" s="349">
        <f t="shared" si="12"/>
        <v>0</v>
      </c>
      <c r="H39" s="349">
        <f t="shared" si="12"/>
        <v>0</v>
      </c>
      <c r="I39" s="577">
        <f t="shared" si="12"/>
        <v>0</v>
      </c>
      <c r="J39" s="349">
        <f t="shared" si="12"/>
        <v>0</v>
      </c>
      <c r="K39" s="572">
        <f t="shared" si="12"/>
        <v>0</v>
      </c>
      <c r="L39" s="310">
        <f t="shared" si="1"/>
        <v>0</v>
      </c>
      <c r="M39" s="357"/>
    </row>
    <row r="40" spans="1:13" s="13" customFormat="1" ht="89.25">
      <c r="A40" s="264">
        <v>751</v>
      </c>
      <c r="B40" s="264">
        <v>75109</v>
      </c>
      <c r="C40" s="315" t="s">
        <v>358</v>
      </c>
      <c r="D40" s="534" t="s">
        <v>893</v>
      </c>
      <c r="E40" s="689" t="s">
        <v>894</v>
      </c>
      <c r="F40" s="570">
        <v>53438</v>
      </c>
      <c r="G40" s="348">
        <v>0</v>
      </c>
      <c r="H40" s="585">
        <f>G40-J40</f>
        <v>0</v>
      </c>
      <c r="I40" s="746">
        <v>0</v>
      </c>
      <c r="J40" s="571">
        <v>0</v>
      </c>
      <c r="K40" s="569">
        <v>0</v>
      </c>
      <c r="L40" s="306">
        <f t="shared" si="1"/>
        <v>0</v>
      </c>
      <c r="M40" s="357"/>
    </row>
    <row r="41" spans="1:13" s="13" customFormat="1" ht="12.75">
      <c r="A41" s="307"/>
      <c r="B41" s="307">
        <v>75109</v>
      </c>
      <c r="C41" s="308" t="s">
        <v>882</v>
      </c>
      <c r="D41" s="309"/>
      <c r="E41" s="538"/>
      <c r="F41" s="750">
        <f aca="true" t="shared" si="13" ref="F41:K41">SUM(F40)</f>
        <v>53438</v>
      </c>
      <c r="G41" s="349">
        <f t="shared" si="13"/>
        <v>0</v>
      </c>
      <c r="H41" s="349">
        <f t="shared" si="13"/>
        <v>0</v>
      </c>
      <c r="I41" s="577">
        <f t="shared" si="13"/>
        <v>0</v>
      </c>
      <c r="J41" s="349">
        <f t="shared" si="13"/>
        <v>0</v>
      </c>
      <c r="K41" s="572">
        <f t="shared" si="13"/>
        <v>0</v>
      </c>
      <c r="L41" s="310">
        <f t="shared" si="1"/>
        <v>0</v>
      </c>
      <c r="M41" s="357"/>
    </row>
    <row r="42" spans="1:13" s="13" customFormat="1" ht="12.75">
      <c r="A42" s="291">
        <v>751</v>
      </c>
      <c r="B42" s="291"/>
      <c r="C42" s="292" t="s">
        <v>883</v>
      </c>
      <c r="D42" s="312"/>
      <c r="E42" s="539"/>
      <c r="F42" s="588">
        <f aca="true" t="shared" si="14" ref="F42:K42">F37+F39+F41</f>
        <v>96664</v>
      </c>
      <c r="G42" s="350">
        <f t="shared" si="14"/>
        <v>3080</v>
      </c>
      <c r="H42" s="350">
        <f t="shared" si="14"/>
        <v>3080</v>
      </c>
      <c r="I42" s="575">
        <f t="shared" si="14"/>
        <v>0</v>
      </c>
      <c r="J42" s="350">
        <f t="shared" si="14"/>
        <v>0</v>
      </c>
      <c r="K42" s="576">
        <f t="shared" si="14"/>
        <v>0</v>
      </c>
      <c r="L42" s="399">
        <f t="shared" si="1"/>
        <v>0.03186294794339154</v>
      </c>
      <c r="M42" s="357"/>
    </row>
    <row r="43" spans="1:13" s="13" customFormat="1" ht="76.5">
      <c r="A43" s="264">
        <v>752</v>
      </c>
      <c r="B43" s="264">
        <v>75212</v>
      </c>
      <c r="C43" s="315" t="s">
        <v>207</v>
      </c>
      <c r="D43" s="534" t="s">
        <v>893</v>
      </c>
      <c r="E43" s="689" t="s">
        <v>894</v>
      </c>
      <c r="F43" s="570">
        <v>500</v>
      </c>
      <c r="G43" s="348">
        <v>0</v>
      </c>
      <c r="H43" s="585">
        <f>G43-J43</f>
        <v>0</v>
      </c>
      <c r="I43" s="746">
        <v>0</v>
      </c>
      <c r="J43" s="571">
        <v>0</v>
      </c>
      <c r="K43" s="569">
        <v>0</v>
      </c>
      <c r="L43" s="306">
        <f t="shared" si="1"/>
        <v>0</v>
      </c>
      <c r="M43" s="357"/>
    </row>
    <row r="44" spans="1:13" s="13" customFormat="1" ht="12.75">
      <c r="A44" s="307"/>
      <c r="B44" s="307">
        <v>75212</v>
      </c>
      <c r="C44" s="308" t="s">
        <v>882</v>
      </c>
      <c r="D44" s="309"/>
      <c r="E44" s="538"/>
      <c r="F44" s="750">
        <f aca="true" t="shared" si="15" ref="F44:K44">SUM(F43)</f>
        <v>500</v>
      </c>
      <c r="G44" s="349">
        <f t="shared" si="15"/>
        <v>0</v>
      </c>
      <c r="H44" s="349">
        <f t="shared" si="15"/>
        <v>0</v>
      </c>
      <c r="I44" s="577">
        <f t="shared" si="15"/>
        <v>0</v>
      </c>
      <c r="J44" s="349">
        <f t="shared" si="15"/>
        <v>0</v>
      </c>
      <c r="K44" s="572">
        <f t="shared" si="15"/>
        <v>0</v>
      </c>
      <c r="L44" s="310">
        <f t="shared" si="1"/>
        <v>0</v>
      </c>
      <c r="M44" s="357"/>
    </row>
    <row r="45" spans="1:13" s="13" customFormat="1" ht="12.75">
      <c r="A45" s="291">
        <v>752</v>
      </c>
      <c r="B45" s="291"/>
      <c r="C45" s="292" t="s">
        <v>883</v>
      </c>
      <c r="D45" s="312"/>
      <c r="E45" s="539"/>
      <c r="F45" s="588">
        <f aca="true" t="shared" si="16" ref="F45:K45">F44</f>
        <v>500</v>
      </c>
      <c r="G45" s="350">
        <f t="shared" si="16"/>
        <v>0</v>
      </c>
      <c r="H45" s="350">
        <f t="shared" si="16"/>
        <v>0</v>
      </c>
      <c r="I45" s="575">
        <f t="shared" si="16"/>
        <v>0</v>
      </c>
      <c r="J45" s="350">
        <f t="shared" si="16"/>
        <v>0</v>
      </c>
      <c r="K45" s="576">
        <f t="shared" si="16"/>
        <v>0</v>
      </c>
      <c r="L45" s="399">
        <f t="shared" si="1"/>
        <v>0</v>
      </c>
      <c r="M45" s="357"/>
    </row>
    <row r="46" spans="1:13" s="13" customFormat="1" ht="76.5">
      <c r="A46" s="264">
        <v>754</v>
      </c>
      <c r="B46" s="264">
        <v>75414</v>
      </c>
      <c r="C46" s="293" t="s">
        <v>57</v>
      </c>
      <c r="D46" s="314" t="s">
        <v>893</v>
      </c>
      <c r="E46" s="689" t="s">
        <v>894</v>
      </c>
      <c r="F46" s="570">
        <v>0</v>
      </c>
      <c r="G46" s="348">
        <v>500</v>
      </c>
      <c r="H46" s="585">
        <f>G46-J46</f>
        <v>500</v>
      </c>
      <c r="I46" s="746">
        <v>0</v>
      </c>
      <c r="J46" s="571">
        <v>0</v>
      </c>
      <c r="K46" s="569">
        <v>0</v>
      </c>
      <c r="L46" s="306"/>
      <c r="M46" s="357"/>
    </row>
    <row r="47" spans="1:13" s="13" customFormat="1" ht="12.75">
      <c r="A47" s="307"/>
      <c r="B47" s="307">
        <v>75414</v>
      </c>
      <c r="C47" s="308" t="s">
        <v>882</v>
      </c>
      <c r="D47" s="309"/>
      <c r="E47" s="538"/>
      <c r="F47" s="750">
        <f aca="true" t="shared" si="17" ref="F47:K47">SUM(F46)</f>
        <v>0</v>
      </c>
      <c r="G47" s="349">
        <f t="shared" si="17"/>
        <v>500</v>
      </c>
      <c r="H47" s="349">
        <f t="shared" si="17"/>
        <v>500</v>
      </c>
      <c r="I47" s="577">
        <f t="shared" si="17"/>
        <v>0</v>
      </c>
      <c r="J47" s="349">
        <f t="shared" si="17"/>
        <v>0</v>
      </c>
      <c r="K47" s="572">
        <f t="shared" si="17"/>
        <v>0</v>
      </c>
      <c r="L47" s="310"/>
      <c r="M47" s="357"/>
    </row>
    <row r="48" spans="1:13" s="13" customFormat="1" ht="51">
      <c r="A48" s="264">
        <v>754</v>
      </c>
      <c r="B48" s="264">
        <v>75478</v>
      </c>
      <c r="C48" s="315" t="s">
        <v>208</v>
      </c>
      <c r="D48" s="316" t="s">
        <v>481</v>
      </c>
      <c r="E48" s="522" t="s">
        <v>274</v>
      </c>
      <c r="F48" s="570">
        <v>37276</v>
      </c>
      <c r="G48" s="348">
        <v>0</v>
      </c>
      <c r="H48" s="585">
        <f>G48-J48</f>
        <v>0</v>
      </c>
      <c r="I48" s="746">
        <v>0</v>
      </c>
      <c r="J48" s="571">
        <v>0</v>
      </c>
      <c r="K48" s="569">
        <v>0</v>
      </c>
      <c r="L48" s="306">
        <f aca="true" t="shared" si="18" ref="L48:L79">G48/F48</f>
        <v>0</v>
      </c>
      <c r="M48" s="357"/>
    </row>
    <row r="49" spans="1:13" s="13" customFormat="1" ht="12.75">
      <c r="A49" s="307"/>
      <c r="B49" s="307">
        <v>75414</v>
      </c>
      <c r="C49" s="308" t="s">
        <v>882</v>
      </c>
      <c r="D49" s="309"/>
      <c r="E49" s="538"/>
      <c r="F49" s="750">
        <f aca="true" t="shared" si="19" ref="F49:K49">SUM(F48)</f>
        <v>37276</v>
      </c>
      <c r="G49" s="349">
        <f t="shared" si="19"/>
        <v>0</v>
      </c>
      <c r="H49" s="349">
        <f t="shared" si="19"/>
        <v>0</v>
      </c>
      <c r="I49" s="577">
        <f t="shared" si="19"/>
        <v>0</v>
      </c>
      <c r="J49" s="349">
        <f t="shared" si="19"/>
        <v>0</v>
      </c>
      <c r="K49" s="572">
        <f t="shared" si="19"/>
        <v>0</v>
      </c>
      <c r="L49" s="310">
        <f t="shared" si="18"/>
        <v>0</v>
      </c>
      <c r="M49" s="357"/>
    </row>
    <row r="50" spans="1:13" s="13" customFormat="1" ht="12.75">
      <c r="A50" s="291">
        <v>754</v>
      </c>
      <c r="B50" s="291"/>
      <c r="C50" s="292" t="s">
        <v>883</v>
      </c>
      <c r="D50" s="312"/>
      <c r="E50" s="539"/>
      <c r="F50" s="588">
        <f aca="true" t="shared" si="20" ref="F50:K50">F47+F49</f>
        <v>37276</v>
      </c>
      <c r="G50" s="350">
        <f t="shared" si="20"/>
        <v>500</v>
      </c>
      <c r="H50" s="350">
        <f t="shared" si="20"/>
        <v>500</v>
      </c>
      <c r="I50" s="575">
        <f t="shared" si="20"/>
        <v>0</v>
      </c>
      <c r="J50" s="350">
        <f t="shared" si="20"/>
        <v>0</v>
      </c>
      <c r="K50" s="576">
        <f t="shared" si="20"/>
        <v>0</v>
      </c>
      <c r="L50" s="399">
        <f t="shared" si="18"/>
        <v>0.013413456379439853</v>
      </c>
      <c r="M50" s="357"/>
    </row>
    <row r="51" spans="1:13" s="13" customFormat="1" ht="51">
      <c r="A51" s="264">
        <v>756</v>
      </c>
      <c r="B51" s="264">
        <v>75601</v>
      </c>
      <c r="C51" s="293" t="s">
        <v>58</v>
      </c>
      <c r="D51" s="314" t="s">
        <v>59</v>
      </c>
      <c r="E51" s="541" t="s">
        <v>60</v>
      </c>
      <c r="F51" s="570">
        <v>60000</v>
      </c>
      <c r="G51" s="348">
        <v>70000</v>
      </c>
      <c r="H51" s="585">
        <f>G51-J51</f>
        <v>70000</v>
      </c>
      <c r="I51" s="746">
        <v>0</v>
      </c>
      <c r="J51" s="571">
        <v>0</v>
      </c>
      <c r="K51" s="569">
        <v>0</v>
      </c>
      <c r="L51" s="306">
        <f t="shared" si="18"/>
        <v>1.1666666666666667</v>
      </c>
      <c r="M51" s="357" t="s">
        <v>285</v>
      </c>
    </row>
    <row r="52" spans="1:13" s="13" customFormat="1" ht="38.25">
      <c r="A52" s="264"/>
      <c r="B52" s="264"/>
      <c r="C52" s="293"/>
      <c r="D52" s="314" t="s">
        <v>61</v>
      </c>
      <c r="E52" s="541" t="s">
        <v>548</v>
      </c>
      <c r="F52" s="570">
        <v>2500</v>
      </c>
      <c r="G52" s="348">
        <v>3000</v>
      </c>
      <c r="H52" s="585">
        <f>G52-J52</f>
        <v>3000</v>
      </c>
      <c r="I52" s="746">
        <v>0</v>
      </c>
      <c r="J52" s="571">
        <v>0</v>
      </c>
      <c r="K52" s="569">
        <v>0</v>
      </c>
      <c r="L52" s="306">
        <f t="shared" si="18"/>
        <v>1.2</v>
      </c>
      <c r="M52" s="357" t="s">
        <v>285</v>
      </c>
    </row>
    <row r="53" spans="1:13" s="13" customFormat="1" ht="12.75">
      <c r="A53" s="307"/>
      <c r="B53" s="307">
        <v>75601</v>
      </c>
      <c r="C53" s="308" t="s">
        <v>882</v>
      </c>
      <c r="D53" s="309"/>
      <c r="E53" s="538"/>
      <c r="F53" s="750">
        <f aca="true" t="shared" si="21" ref="F53:K53">SUM(F51:F52)</f>
        <v>62500</v>
      </c>
      <c r="G53" s="349">
        <f t="shared" si="21"/>
        <v>73000</v>
      </c>
      <c r="H53" s="349">
        <f t="shared" si="21"/>
        <v>73000</v>
      </c>
      <c r="I53" s="577">
        <f t="shared" si="21"/>
        <v>0</v>
      </c>
      <c r="J53" s="349">
        <f t="shared" si="21"/>
        <v>0</v>
      </c>
      <c r="K53" s="572">
        <f t="shared" si="21"/>
        <v>0</v>
      </c>
      <c r="L53" s="310">
        <f t="shared" si="18"/>
        <v>1.168</v>
      </c>
      <c r="M53" s="357"/>
    </row>
    <row r="54" spans="1:13" s="13" customFormat="1" ht="89.25">
      <c r="A54" s="264">
        <v>756</v>
      </c>
      <c r="B54" s="264">
        <v>75615</v>
      </c>
      <c r="C54" s="293" t="s">
        <v>549</v>
      </c>
      <c r="D54" s="314" t="s">
        <v>550</v>
      </c>
      <c r="E54" s="542" t="s">
        <v>551</v>
      </c>
      <c r="F54" s="570">
        <v>1800000</v>
      </c>
      <c r="G54" s="348">
        <v>1850000</v>
      </c>
      <c r="H54" s="585">
        <f aca="true" t="shared" si="22" ref="H54:H59">G54-J54</f>
        <v>1850000</v>
      </c>
      <c r="I54" s="746">
        <v>0</v>
      </c>
      <c r="J54" s="571">
        <v>0</v>
      </c>
      <c r="K54" s="569">
        <v>0</v>
      </c>
      <c r="L54" s="306">
        <f t="shared" si="18"/>
        <v>1.0277777777777777</v>
      </c>
      <c r="M54" s="357"/>
    </row>
    <row r="55" spans="1:13" s="13" customFormat="1" ht="12.75" customHeight="1">
      <c r="A55" s="264"/>
      <c r="B55" s="264"/>
      <c r="C55" s="293"/>
      <c r="D55" s="314" t="s">
        <v>552</v>
      </c>
      <c r="E55" s="542" t="s">
        <v>553</v>
      </c>
      <c r="F55" s="570">
        <v>1330</v>
      </c>
      <c r="G55" s="348">
        <v>1360</v>
      </c>
      <c r="H55" s="585">
        <f t="shared" si="22"/>
        <v>1360</v>
      </c>
      <c r="I55" s="746">
        <v>0</v>
      </c>
      <c r="J55" s="571">
        <v>0</v>
      </c>
      <c r="K55" s="569">
        <v>0</v>
      </c>
      <c r="L55" s="306">
        <f t="shared" si="18"/>
        <v>1.0225563909774436</v>
      </c>
      <c r="M55" s="357"/>
    </row>
    <row r="56" spans="1:13" s="13" customFormat="1" ht="25.5">
      <c r="A56" s="264"/>
      <c r="B56" s="264"/>
      <c r="C56" s="293"/>
      <c r="D56" s="314" t="s">
        <v>554</v>
      </c>
      <c r="E56" s="542" t="s">
        <v>441</v>
      </c>
      <c r="F56" s="570">
        <v>75000</v>
      </c>
      <c r="G56" s="348">
        <v>75000</v>
      </c>
      <c r="H56" s="585">
        <f t="shared" si="22"/>
        <v>75000</v>
      </c>
      <c r="I56" s="746">
        <v>0</v>
      </c>
      <c r="J56" s="571">
        <v>0</v>
      </c>
      <c r="K56" s="569">
        <v>0</v>
      </c>
      <c r="L56" s="306">
        <f t="shared" si="18"/>
        <v>1</v>
      </c>
      <c r="M56" s="357" t="s">
        <v>86</v>
      </c>
    </row>
    <row r="57" spans="1:13" s="13" customFormat="1" ht="25.5">
      <c r="A57" s="264"/>
      <c r="B57" s="264"/>
      <c r="C57" s="293"/>
      <c r="D57" s="314" t="s">
        <v>442</v>
      </c>
      <c r="E57" s="542" t="s">
        <v>443</v>
      </c>
      <c r="F57" s="570">
        <v>20000</v>
      </c>
      <c r="G57" s="348">
        <v>15000</v>
      </c>
      <c r="H57" s="585">
        <f t="shared" si="22"/>
        <v>15000</v>
      </c>
      <c r="I57" s="746">
        <v>0</v>
      </c>
      <c r="J57" s="571">
        <v>0</v>
      </c>
      <c r="K57" s="569">
        <v>0</v>
      </c>
      <c r="L57" s="306">
        <f t="shared" si="18"/>
        <v>0.75</v>
      </c>
      <c r="M57" s="357" t="s">
        <v>285</v>
      </c>
    </row>
    <row r="58" spans="1:13" s="13" customFormat="1" ht="38.25">
      <c r="A58" s="264"/>
      <c r="B58" s="264"/>
      <c r="C58" s="293"/>
      <c r="D58" s="314" t="s">
        <v>61</v>
      </c>
      <c r="E58" s="541" t="s">
        <v>548</v>
      </c>
      <c r="F58" s="570">
        <v>10000</v>
      </c>
      <c r="G58" s="348">
        <v>2500</v>
      </c>
      <c r="H58" s="585">
        <f t="shared" si="22"/>
        <v>2500</v>
      </c>
      <c r="I58" s="746">
        <v>0</v>
      </c>
      <c r="J58" s="571">
        <v>0</v>
      </c>
      <c r="K58" s="569">
        <v>0</v>
      </c>
      <c r="L58" s="306">
        <f t="shared" si="18"/>
        <v>0.25</v>
      </c>
      <c r="M58" s="357" t="s">
        <v>285</v>
      </c>
    </row>
    <row r="59" spans="1:13" s="13" customFormat="1" ht="38.25">
      <c r="A59" s="264"/>
      <c r="B59" s="264"/>
      <c r="C59" s="293"/>
      <c r="D59" s="317" t="s">
        <v>444</v>
      </c>
      <c r="E59" s="542" t="s">
        <v>445</v>
      </c>
      <c r="F59" s="570">
        <v>395080</v>
      </c>
      <c r="G59" s="348">
        <v>524004</v>
      </c>
      <c r="H59" s="585">
        <f t="shared" si="22"/>
        <v>524004</v>
      </c>
      <c r="I59" s="746">
        <v>0</v>
      </c>
      <c r="J59" s="571">
        <v>0</v>
      </c>
      <c r="K59" s="569">
        <v>0</v>
      </c>
      <c r="L59" s="306">
        <f t="shared" si="18"/>
        <v>1.3263237825250582</v>
      </c>
      <c r="M59" s="357"/>
    </row>
    <row r="60" spans="1:13" s="13" customFormat="1" ht="12.75">
      <c r="A60" s="307"/>
      <c r="B60" s="307">
        <v>75615</v>
      </c>
      <c r="C60" s="308" t="s">
        <v>882</v>
      </c>
      <c r="D60" s="309"/>
      <c r="E60" s="538"/>
      <c r="F60" s="750">
        <f aca="true" t="shared" si="23" ref="F60:K60">SUM(F54:F59)</f>
        <v>2301410</v>
      </c>
      <c r="G60" s="349">
        <f t="shared" si="23"/>
        <v>2467864</v>
      </c>
      <c r="H60" s="349">
        <f t="shared" si="23"/>
        <v>2467864</v>
      </c>
      <c r="I60" s="577">
        <f t="shared" si="23"/>
        <v>0</v>
      </c>
      <c r="J60" s="349">
        <f t="shared" si="23"/>
        <v>0</v>
      </c>
      <c r="K60" s="572">
        <f t="shared" si="23"/>
        <v>0</v>
      </c>
      <c r="L60" s="310">
        <f t="shared" si="18"/>
        <v>1.0723269647737692</v>
      </c>
      <c r="M60" s="357"/>
    </row>
    <row r="61" spans="1:13" s="13" customFormat="1" ht="78.75" customHeight="1">
      <c r="A61" s="264">
        <v>756</v>
      </c>
      <c r="B61" s="294">
        <v>75616</v>
      </c>
      <c r="C61" s="293" t="s">
        <v>448</v>
      </c>
      <c r="D61" s="318" t="s">
        <v>550</v>
      </c>
      <c r="E61" s="542" t="s">
        <v>551</v>
      </c>
      <c r="F61" s="570">
        <v>3450000</v>
      </c>
      <c r="G61" s="348">
        <v>3450000</v>
      </c>
      <c r="H61" s="585">
        <f aca="true" t="shared" si="24" ref="H61:H70">G61-J61</f>
        <v>3450000</v>
      </c>
      <c r="I61" s="746">
        <v>0</v>
      </c>
      <c r="J61" s="571">
        <v>0</v>
      </c>
      <c r="K61" s="569">
        <v>0</v>
      </c>
      <c r="L61" s="306">
        <f t="shared" si="18"/>
        <v>1</v>
      </c>
      <c r="M61" s="357"/>
    </row>
    <row r="62" spans="1:13" s="13" customFormat="1" ht="12.75">
      <c r="A62" s="264"/>
      <c r="B62" s="294"/>
      <c r="C62" s="293"/>
      <c r="D62" s="318" t="s">
        <v>449</v>
      </c>
      <c r="E62" s="543" t="s">
        <v>450</v>
      </c>
      <c r="F62" s="570">
        <v>8940</v>
      </c>
      <c r="G62" s="348">
        <v>8945</v>
      </c>
      <c r="H62" s="585">
        <f t="shared" si="24"/>
        <v>8945</v>
      </c>
      <c r="I62" s="746">
        <v>0</v>
      </c>
      <c r="J62" s="571">
        <v>0</v>
      </c>
      <c r="K62" s="569">
        <v>0</v>
      </c>
      <c r="L62" s="306">
        <f t="shared" si="18"/>
        <v>1.000559284116331</v>
      </c>
      <c r="M62" s="357"/>
    </row>
    <row r="63" spans="1:13" s="13" customFormat="1" ht="12.75">
      <c r="A63" s="264"/>
      <c r="B63" s="294"/>
      <c r="C63" s="293"/>
      <c r="D63" s="318" t="s">
        <v>552</v>
      </c>
      <c r="E63" s="543" t="s">
        <v>451</v>
      </c>
      <c r="F63" s="570">
        <v>5118</v>
      </c>
      <c r="G63" s="348">
        <v>5150</v>
      </c>
      <c r="H63" s="585">
        <f t="shared" si="24"/>
        <v>5150</v>
      </c>
      <c r="I63" s="746">
        <v>0</v>
      </c>
      <c r="J63" s="571">
        <v>0</v>
      </c>
      <c r="K63" s="569">
        <v>0</v>
      </c>
      <c r="L63" s="306">
        <f t="shared" si="18"/>
        <v>1.006252442360297</v>
      </c>
      <c r="M63" s="357"/>
    </row>
    <row r="64" spans="1:13" s="13" customFormat="1" ht="25.5">
      <c r="A64" s="264"/>
      <c r="B64" s="294"/>
      <c r="C64" s="293"/>
      <c r="D64" s="318" t="s">
        <v>554</v>
      </c>
      <c r="E64" s="543" t="s">
        <v>452</v>
      </c>
      <c r="F64" s="570">
        <v>430000</v>
      </c>
      <c r="G64" s="348">
        <v>430000</v>
      </c>
      <c r="H64" s="585">
        <f t="shared" si="24"/>
        <v>430000</v>
      </c>
      <c r="I64" s="746">
        <v>0</v>
      </c>
      <c r="J64" s="571">
        <v>0</v>
      </c>
      <c r="K64" s="569">
        <v>0</v>
      </c>
      <c r="L64" s="306">
        <f t="shared" si="18"/>
        <v>1</v>
      </c>
      <c r="M64" s="357" t="s">
        <v>86</v>
      </c>
    </row>
    <row r="65" spans="1:13" s="13" customFormat="1" ht="25.5">
      <c r="A65" s="264"/>
      <c r="B65" s="294"/>
      <c r="C65" s="293"/>
      <c r="D65" s="318" t="s">
        <v>453</v>
      </c>
      <c r="E65" s="543" t="s">
        <v>454</v>
      </c>
      <c r="F65" s="570">
        <v>491564</v>
      </c>
      <c r="G65" s="348">
        <v>655000</v>
      </c>
      <c r="H65" s="585">
        <f t="shared" si="24"/>
        <v>655000</v>
      </c>
      <c r="I65" s="746">
        <v>0</v>
      </c>
      <c r="J65" s="571">
        <v>0</v>
      </c>
      <c r="K65" s="569">
        <v>0</v>
      </c>
      <c r="L65" s="306">
        <f t="shared" si="18"/>
        <v>1.332481630062413</v>
      </c>
      <c r="M65" s="357" t="s">
        <v>285</v>
      </c>
    </row>
    <row r="66" spans="1:13" s="13" customFormat="1" ht="12.75">
      <c r="A66" s="264"/>
      <c r="B66" s="294"/>
      <c r="C66" s="293"/>
      <c r="D66" s="318" t="s">
        <v>455</v>
      </c>
      <c r="E66" s="543" t="s">
        <v>456</v>
      </c>
      <c r="F66" s="570">
        <v>2700</v>
      </c>
      <c r="G66" s="348">
        <v>2500</v>
      </c>
      <c r="H66" s="585">
        <f t="shared" si="24"/>
        <v>2500</v>
      </c>
      <c r="I66" s="746">
        <v>0</v>
      </c>
      <c r="J66" s="571">
        <v>0</v>
      </c>
      <c r="K66" s="569">
        <v>0</v>
      </c>
      <c r="L66" s="306">
        <f t="shared" si="18"/>
        <v>0.9259259259259259</v>
      </c>
      <c r="M66" s="357" t="s">
        <v>865</v>
      </c>
    </row>
    <row r="67" spans="1:13" s="13" customFormat="1" ht="12.75">
      <c r="A67" s="264"/>
      <c r="B67" s="294"/>
      <c r="C67" s="293"/>
      <c r="D67" s="318" t="s">
        <v>457</v>
      </c>
      <c r="E67" s="543" t="s">
        <v>458</v>
      </c>
      <c r="F67" s="570">
        <v>9000</v>
      </c>
      <c r="G67" s="348">
        <v>20000</v>
      </c>
      <c r="H67" s="585">
        <f t="shared" si="24"/>
        <v>20000</v>
      </c>
      <c r="I67" s="746">
        <v>0</v>
      </c>
      <c r="J67" s="571">
        <v>0</v>
      </c>
      <c r="K67" s="569">
        <v>0</v>
      </c>
      <c r="L67" s="306">
        <f t="shared" si="18"/>
        <v>2.2222222222222223</v>
      </c>
      <c r="M67" s="357" t="s">
        <v>865</v>
      </c>
    </row>
    <row r="68" spans="1:13" s="13" customFormat="1" ht="25.5">
      <c r="A68" s="264"/>
      <c r="B68" s="294"/>
      <c r="C68" s="293"/>
      <c r="D68" s="318" t="s">
        <v>442</v>
      </c>
      <c r="E68" s="685" t="s">
        <v>459</v>
      </c>
      <c r="F68" s="570">
        <v>1415000</v>
      </c>
      <c r="G68" s="348">
        <v>1965000</v>
      </c>
      <c r="H68" s="585">
        <f t="shared" si="24"/>
        <v>1965000</v>
      </c>
      <c r="I68" s="746">
        <v>0</v>
      </c>
      <c r="J68" s="571">
        <v>0</v>
      </c>
      <c r="K68" s="569">
        <v>0</v>
      </c>
      <c r="L68" s="306">
        <f t="shared" si="18"/>
        <v>1.3886925795053005</v>
      </c>
      <c r="M68" s="357" t="s">
        <v>285</v>
      </c>
    </row>
    <row r="69" spans="1:13" s="13" customFormat="1" ht="12.75">
      <c r="A69" s="264"/>
      <c r="B69" s="294"/>
      <c r="C69" s="293"/>
      <c r="D69" s="318" t="s">
        <v>424</v>
      </c>
      <c r="E69" s="543" t="s">
        <v>875</v>
      </c>
      <c r="F69" s="570">
        <v>15500</v>
      </c>
      <c r="G69" s="348">
        <v>15000</v>
      </c>
      <c r="H69" s="585">
        <f t="shared" si="24"/>
        <v>15000</v>
      </c>
      <c r="I69" s="746">
        <v>0</v>
      </c>
      <c r="J69" s="571">
        <v>0</v>
      </c>
      <c r="K69" s="569">
        <v>0</v>
      </c>
      <c r="L69" s="306">
        <f t="shared" si="18"/>
        <v>0.967741935483871</v>
      </c>
      <c r="M69" s="357" t="s">
        <v>285</v>
      </c>
    </row>
    <row r="70" spans="1:13" s="13" customFormat="1" ht="38.25">
      <c r="A70" s="264"/>
      <c r="B70" s="294"/>
      <c r="C70" s="293"/>
      <c r="D70" s="318" t="s">
        <v>61</v>
      </c>
      <c r="E70" s="543" t="s">
        <v>548</v>
      </c>
      <c r="F70" s="570">
        <v>80000</v>
      </c>
      <c r="G70" s="348">
        <v>80000</v>
      </c>
      <c r="H70" s="585">
        <f t="shared" si="24"/>
        <v>80000</v>
      </c>
      <c r="I70" s="746">
        <v>0</v>
      </c>
      <c r="J70" s="571">
        <v>0</v>
      </c>
      <c r="K70" s="569">
        <v>0</v>
      </c>
      <c r="L70" s="306">
        <f t="shared" si="18"/>
        <v>1</v>
      </c>
      <c r="M70" s="357" t="s">
        <v>285</v>
      </c>
    </row>
    <row r="71" spans="1:13" s="13" customFormat="1" ht="12.75">
      <c r="A71" s="307"/>
      <c r="B71" s="307">
        <v>75616</v>
      </c>
      <c r="C71" s="308" t="s">
        <v>882</v>
      </c>
      <c r="D71" s="309"/>
      <c r="E71" s="538"/>
      <c r="F71" s="750">
        <f aca="true" t="shared" si="25" ref="F71:K71">SUM(F61:F70)</f>
        <v>5907822</v>
      </c>
      <c r="G71" s="349">
        <f t="shared" si="25"/>
        <v>6631595</v>
      </c>
      <c r="H71" s="349">
        <f t="shared" si="25"/>
        <v>6631595</v>
      </c>
      <c r="I71" s="577">
        <f t="shared" si="25"/>
        <v>0</v>
      </c>
      <c r="J71" s="349">
        <f t="shared" si="25"/>
        <v>0</v>
      </c>
      <c r="K71" s="572">
        <f t="shared" si="25"/>
        <v>0</v>
      </c>
      <c r="L71" s="310">
        <f t="shared" si="18"/>
        <v>1.1225109693555426</v>
      </c>
      <c r="M71" s="357"/>
    </row>
    <row r="72" spans="1:13" s="13" customFormat="1" ht="38.25">
      <c r="A72" s="264">
        <v>756</v>
      </c>
      <c r="B72" s="264">
        <v>75618</v>
      </c>
      <c r="C72" s="315" t="s">
        <v>460</v>
      </c>
      <c r="D72" s="688" t="s">
        <v>461</v>
      </c>
      <c r="E72" s="645" t="s">
        <v>462</v>
      </c>
      <c r="F72" s="570">
        <v>80000</v>
      </c>
      <c r="G72" s="348">
        <v>106000</v>
      </c>
      <c r="H72" s="585">
        <f>G72-J72</f>
        <v>106000</v>
      </c>
      <c r="I72" s="746">
        <v>0</v>
      </c>
      <c r="J72" s="571">
        <v>0</v>
      </c>
      <c r="K72" s="569">
        <v>0</v>
      </c>
      <c r="L72" s="306">
        <f t="shared" si="18"/>
        <v>1.325</v>
      </c>
      <c r="M72" s="357" t="s">
        <v>285</v>
      </c>
    </row>
    <row r="73" spans="1:13" s="13" customFormat="1" ht="25.5">
      <c r="A73" s="264"/>
      <c r="B73" s="264"/>
      <c r="C73" s="293"/>
      <c r="D73" s="688" t="s">
        <v>463</v>
      </c>
      <c r="E73" s="645" t="s">
        <v>271</v>
      </c>
      <c r="F73" s="570">
        <v>232000</v>
      </c>
      <c r="G73" s="348">
        <v>235000</v>
      </c>
      <c r="H73" s="585">
        <f>G73-J73</f>
        <v>235000</v>
      </c>
      <c r="I73" s="746">
        <v>0</v>
      </c>
      <c r="J73" s="571">
        <v>0</v>
      </c>
      <c r="K73" s="569">
        <v>0</v>
      </c>
      <c r="L73" s="306">
        <f t="shared" si="18"/>
        <v>1.0129310344827587</v>
      </c>
      <c r="M73" s="357" t="s">
        <v>792</v>
      </c>
    </row>
    <row r="74" spans="1:13" s="13" customFormat="1" ht="89.25">
      <c r="A74" s="264"/>
      <c r="B74" s="264"/>
      <c r="C74" s="293"/>
      <c r="D74" s="688" t="s">
        <v>464</v>
      </c>
      <c r="E74" s="544" t="s">
        <v>837</v>
      </c>
      <c r="F74" s="570">
        <v>175000</v>
      </c>
      <c r="G74" s="348">
        <v>154200</v>
      </c>
      <c r="H74" s="585">
        <f>G74-J74</f>
        <v>154200</v>
      </c>
      <c r="I74" s="746">
        <v>0</v>
      </c>
      <c r="J74" s="571">
        <v>0</v>
      </c>
      <c r="K74" s="569">
        <v>0</v>
      </c>
      <c r="L74" s="306">
        <f t="shared" si="18"/>
        <v>0.8811428571428571</v>
      </c>
      <c r="M74" s="357" t="s">
        <v>244</v>
      </c>
    </row>
    <row r="75" spans="1:13" s="13" customFormat="1" ht="12.75">
      <c r="A75" s="264"/>
      <c r="B75" s="264"/>
      <c r="C75" s="293"/>
      <c r="D75" s="688" t="s">
        <v>878</v>
      </c>
      <c r="E75" s="540" t="s">
        <v>879</v>
      </c>
      <c r="F75" s="570">
        <v>2500</v>
      </c>
      <c r="G75" s="348">
        <v>800</v>
      </c>
      <c r="H75" s="585">
        <f>G75-J75</f>
        <v>800</v>
      </c>
      <c r="I75" s="746">
        <v>0</v>
      </c>
      <c r="J75" s="571">
        <v>0</v>
      </c>
      <c r="K75" s="569">
        <v>0</v>
      </c>
      <c r="L75" s="306">
        <f t="shared" si="18"/>
        <v>0.32</v>
      </c>
      <c r="M75" s="357" t="s">
        <v>285</v>
      </c>
    </row>
    <row r="76" spans="1:13" s="13" customFormat="1" ht="12.75">
      <c r="A76" s="307"/>
      <c r="B76" s="307">
        <v>75618</v>
      </c>
      <c r="C76" s="308" t="s">
        <v>882</v>
      </c>
      <c r="D76" s="309"/>
      <c r="E76" s="538"/>
      <c r="F76" s="750">
        <f aca="true" t="shared" si="26" ref="F76:K76">SUM(F72:F75)</f>
        <v>489500</v>
      </c>
      <c r="G76" s="349">
        <f t="shared" si="26"/>
        <v>496000</v>
      </c>
      <c r="H76" s="349">
        <f t="shared" si="26"/>
        <v>496000</v>
      </c>
      <c r="I76" s="577">
        <f t="shared" si="26"/>
        <v>0</v>
      </c>
      <c r="J76" s="349">
        <f t="shared" si="26"/>
        <v>0</v>
      </c>
      <c r="K76" s="572">
        <f t="shared" si="26"/>
        <v>0</v>
      </c>
      <c r="L76" s="310">
        <f t="shared" si="18"/>
        <v>1.0132788559754853</v>
      </c>
      <c r="M76" s="357"/>
    </row>
    <row r="77" spans="1:13" s="13" customFormat="1" ht="25.5">
      <c r="A77" s="264">
        <v>756</v>
      </c>
      <c r="B77" s="264">
        <v>75619</v>
      </c>
      <c r="C77" s="293" t="s">
        <v>465</v>
      </c>
      <c r="D77" s="314" t="s">
        <v>466</v>
      </c>
      <c r="E77" s="541" t="s">
        <v>467</v>
      </c>
      <c r="F77" s="570">
        <v>5000</v>
      </c>
      <c r="G77" s="348">
        <v>0</v>
      </c>
      <c r="H77" s="585">
        <f>G77-J77</f>
        <v>0</v>
      </c>
      <c r="I77" s="746">
        <v>0</v>
      </c>
      <c r="J77" s="571">
        <v>0</v>
      </c>
      <c r="K77" s="569">
        <v>0</v>
      </c>
      <c r="L77" s="306">
        <f t="shared" si="18"/>
        <v>0</v>
      </c>
      <c r="M77" s="357"/>
    </row>
    <row r="78" spans="1:13" s="13" customFormat="1" ht="12.75">
      <c r="A78" s="307"/>
      <c r="B78" s="307">
        <v>75619</v>
      </c>
      <c r="C78" s="308" t="s">
        <v>882</v>
      </c>
      <c r="D78" s="309"/>
      <c r="E78" s="538"/>
      <c r="F78" s="750">
        <f aca="true" t="shared" si="27" ref="F78:K78">SUM(F77:F77)</f>
        <v>5000</v>
      </c>
      <c r="G78" s="349">
        <f t="shared" si="27"/>
        <v>0</v>
      </c>
      <c r="H78" s="349">
        <f t="shared" si="27"/>
        <v>0</v>
      </c>
      <c r="I78" s="577">
        <f t="shared" si="27"/>
        <v>0</v>
      </c>
      <c r="J78" s="349">
        <f t="shared" si="27"/>
        <v>0</v>
      </c>
      <c r="K78" s="572">
        <f t="shared" si="27"/>
        <v>0</v>
      </c>
      <c r="L78" s="310">
        <f t="shared" si="18"/>
        <v>0</v>
      </c>
      <c r="M78" s="357"/>
    </row>
    <row r="79" spans="1:13" s="13" customFormat="1" ht="38.25">
      <c r="A79" s="264">
        <v>756</v>
      </c>
      <c r="B79" s="264">
        <v>75621</v>
      </c>
      <c r="C79" s="293" t="s">
        <v>468</v>
      </c>
      <c r="D79" s="314" t="s">
        <v>469</v>
      </c>
      <c r="E79" s="542" t="s">
        <v>470</v>
      </c>
      <c r="F79" s="570">
        <v>17247457</v>
      </c>
      <c r="G79" s="348">
        <v>17798829</v>
      </c>
      <c r="H79" s="585">
        <f>G79-J79</f>
        <v>17798829</v>
      </c>
      <c r="I79" s="746">
        <v>0</v>
      </c>
      <c r="J79" s="571">
        <v>0</v>
      </c>
      <c r="K79" s="569">
        <v>0</v>
      </c>
      <c r="L79" s="306">
        <f t="shared" si="18"/>
        <v>1.0319683069799797</v>
      </c>
      <c r="M79" s="357" t="s">
        <v>317</v>
      </c>
    </row>
    <row r="80" spans="1:13" s="13" customFormat="1" ht="25.5">
      <c r="A80" s="264"/>
      <c r="B80" s="264"/>
      <c r="C80" s="293"/>
      <c r="D80" s="314" t="s">
        <v>471</v>
      </c>
      <c r="E80" s="542" t="s">
        <v>473</v>
      </c>
      <c r="F80" s="570">
        <v>110000</v>
      </c>
      <c r="G80" s="348">
        <v>150000</v>
      </c>
      <c r="H80" s="585">
        <f>G80-J80</f>
        <v>150000</v>
      </c>
      <c r="I80" s="746">
        <v>0</v>
      </c>
      <c r="J80" s="571">
        <v>0</v>
      </c>
      <c r="K80" s="569">
        <v>0</v>
      </c>
      <c r="L80" s="306">
        <f aca="true" t="shared" si="28" ref="L80:L104">G80/F80</f>
        <v>1.3636363636363635</v>
      </c>
      <c r="M80" s="357" t="s">
        <v>285</v>
      </c>
    </row>
    <row r="81" spans="1:13" s="13" customFormat="1" ht="12.75">
      <c r="A81" s="307"/>
      <c r="B81" s="307">
        <v>75621</v>
      </c>
      <c r="C81" s="308" t="s">
        <v>882</v>
      </c>
      <c r="D81" s="309"/>
      <c r="E81" s="538"/>
      <c r="F81" s="750">
        <f aca="true" t="shared" si="29" ref="F81:K81">SUM(F79:F80)</f>
        <v>17357457</v>
      </c>
      <c r="G81" s="349">
        <f t="shared" si="29"/>
        <v>17948829</v>
      </c>
      <c r="H81" s="349">
        <f t="shared" si="29"/>
        <v>17948829</v>
      </c>
      <c r="I81" s="577">
        <f t="shared" si="29"/>
        <v>0</v>
      </c>
      <c r="J81" s="349">
        <f t="shared" si="29"/>
        <v>0</v>
      </c>
      <c r="K81" s="572">
        <f t="shared" si="29"/>
        <v>0</v>
      </c>
      <c r="L81" s="310">
        <f t="shared" si="28"/>
        <v>1.0340701981862896</v>
      </c>
      <c r="M81" s="357"/>
    </row>
    <row r="82" spans="1:13" s="13" customFormat="1" ht="12.75">
      <c r="A82" s="291">
        <v>756</v>
      </c>
      <c r="B82" s="291"/>
      <c r="C82" s="292" t="s">
        <v>474</v>
      </c>
      <c r="D82" s="312"/>
      <c r="E82" s="539"/>
      <c r="F82" s="588">
        <f aca="true" t="shared" si="30" ref="F82:K82">F53+F60+F71+F76+F78+F81</f>
        <v>26123689</v>
      </c>
      <c r="G82" s="350">
        <f t="shared" si="30"/>
        <v>27617288</v>
      </c>
      <c r="H82" s="350">
        <f t="shared" si="30"/>
        <v>27617288</v>
      </c>
      <c r="I82" s="575">
        <f t="shared" si="30"/>
        <v>0</v>
      </c>
      <c r="J82" s="350">
        <f t="shared" si="30"/>
        <v>0</v>
      </c>
      <c r="K82" s="573">
        <f t="shared" si="30"/>
        <v>0</v>
      </c>
      <c r="L82" s="313">
        <f t="shared" si="28"/>
        <v>1.0571741226899463</v>
      </c>
      <c r="M82" s="357"/>
    </row>
    <row r="83" spans="1:13" s="13" customFormat="1" ht="25.5">
      <c r="A83" s="264">
        <v>758</v>
      </c>
      <c r="B83" s="264">
        <v>75801</v>
      </c>
      <c r="C83" s="293" t="s">
        <v>475</v>
      </c>
      <c r="D83" s="314" t="s">
        <v>476</v>
      </c>
      <c r="E83" s="522" t="s">
        <v>84</v>
      </c>
      <c r="F83" s="570">
        <v>9345621</v>
      </c>
      <c r="G83" s="348">
        <v>10178132</v>
      </c>
      <c r="H83" s="585">
        <f>G83-J83</f>
        <v>10178132</v>
      </c>
      <c r="I83" s="746">
        <v>0</v>
      </c>
      <c r="J83" s="571">
        <v>0</v>
      </c>
      <c r="K83" s="569">
        <v>0</v>
      </c>
      <c r="L83" s="306">
        <f t="shared" si="28"/>
        <v>1.089080329707357</v>
      </c>
      <c r="M83" s="357" t="s">
        <v>317</v>
      </c>
    </row>
    <row r="84" spans="1:13" s="13" customFormat="1" ht="12.75">
      <c r="A84" s="307"/>
      <c r="B84" s="307">
        <v>75801</v>
      </c>
      <c r="C84" s="308" t="s">
        <v>882</v>
      </c>
      <c r="D84" s="309"/>
      <c r="E84" s="538"/>
      <c r="F84" s="750">
        <f aca="true" t="shared" si="31" ref="F84:K84">SUM(F83:F83)</f>
        <v>9345621</v>
      </c>
      <c r="G84" s="349">
        <f t="shared" si="31"/>
        <v>10178132</v>
      </c>
      <c r="H84" s="349">
        <f t="shared" si="31"/>
        <v>10178132</v>
      </c>
      <c r="I84" s="577">
        <f t="shared" si="31"/>
        <v>0</v>
      </c>
      <c r="J84" s="349">
        <f t="shared" si="31"/>
        <v>0</v>
      </c>
      <c r="K84" s="572">
        <f t="shared" si="31"/>
        <v>0</v>
      </c>
      <c r="L84" s="310">
        <f t="shared" si="28"/>
        <v>1.089080329707357</v>
      </c>
      <c r="M84" s="357"/>
    </row>
    <row r="85" spans="1:13" s="13" customFormat="1" ht="12.75">
      <c r="A85" s="291">
        <v>758</v>
      </c>
      <c r="B85" s="291"/>
      <c r="C85" s="292" t="s">
        <v>883</v>
      </c>
      <c r="D85" s="312"/>
      <c r="E85" s="539"/>
      <c r="F85" s="588">
        <f aca="true" t="shared" si="32" ref="F85:K85">F84</f>
        <v>9345621</v>
      </c>
      <c r="G85" s="350">
        <f t="shared" si="32"/>
        <v>10178132</v>
      </c>
      <c r="H85" s="350">
        <f t="shared" si="32"/>
        <v>10178132</v>
      </c>
      <c r="I85" s="575">
        <f t="shared" si="32"/>
        <v>0</v>
      </c>
      <c r="J85" s="350">
        <f t="shared" si="32"/>
        <v>0</v>
      </c>
      <c r="K85" s="573">
        <f t="shared" si="32"/>
        <v>0</v>
      </c>
      <c r="L85" s="313">
        <f t="shared" si="28"/>
        <v>1.089080329707357</v>
      </c>
      <c r="M85" s="357"/>
    </row>
    <row r="86" spans="1:13" s="13" customFormat="1" ht="25.5">
      <c r="A86" s="264">
        <v>801</v>
      </c>
      <c r="B86" s="264">
        <v>80101</v>
      </c>
      <c r="C86" s="293" t="s">
        <v>477</v>
      </c>
      <c r="D86" s="534" t="s">
        <v>878</v>
      </c>
      <c r="E86" s="540" t="s">
        <v>478</v>
      </c>
      <c r="F86" s="570">
        <v>8500</v>
      </c>
      <c r="G86" s="348">
        <v>4000</v>
      </c>
      <c r="H86" s="585">
        <f>G86-J86</f>
        <v>4000</v>
      </c>
      <c r="I86" s="746">
        <v>0</v>
      </c>
      <c r="J86" s="571">
        <v>0</v>
      </c>
      <c r="K86" s="569">
        <v>0</v>
      </c>
      <c r="L86" s="306">
        <f t="shared" si="28"/>
        <v>0.47058823529411764</v>
      </c>
      <c r="M86" s="357" t="s">
        <v>285</v>
      </c>
    </row>
    <row r="87" spans="1:13" s="13" customFormat="1" ht="25.5">
      <c r="A87" s="264"/>
      <c r="B87" s="264"/>
      <c r="C87" s="293"/>
      <c r="D87" s="534" t="s">
        <v>897</v>
      </c>
      <c r="E87" s="540" t="s">
        <v>50</v>
      </c>
      <c r="F87" s="570">
        <v>1500</v>
      </c>
      <c r="G87" s="348">
        <v>1500</v>
      </c>
      <c r="H87" s="585">
        <f>G87-J87</f>
        <v>1500</v>
      </c>
      <c r="I87" s="746">
        <v>0</v>
      </c>
      <c r="J87" s="571">
        <v>0</v>
      </c>
      <c r="K87" s="569">
        <v>0</v>
      </c>
      <c r="L87" s="306">
        <f t="shared" si="28"/>
        <v>1</v>
      </c>
      <c r="M87" s="357" t="s">
        <v>251</v>
      </c>
    </row>
    <row r="88" spans="1:13" s="13" customFormat="1" ht="51">
      <c r="A88" s="264"/>
      <c r="B88" s="264"/>
      <c r="C88" s="293"/>
      <c r="D88" s="534" t="s">
        <v>481</v>
      </c>
      <c r="E88" s="522" t="s">
        <v>85</v>
      </c>
      <c r="F88" s="570">
        <v>23999</v>
      </c>
      <c r="G88" s="348">
        <v>0</v>
      </c>
      <c r="H88" s="585">
        <f>G88-J88</f>
        <v>0</v>
      </c>
      <c r="I88" s="746">
        <v>0</v>
      </c>
      <c r="J88" s="571">
        <v>0</v>
      </c>
      <c r="K88" s="569">
        <v>0</v>
      </c>
      <c r="L88" s="306">
        <f t="shared" si="28"/>
        <v>0</v>
      </c>
      <c r="M88" s="357"/>
    </row>
    <row r="89" spans="1:13" s="13" customFormat="1" ht="89.25" customHeight="1">
      <c r="A89" s="264"/>
      <c r="B89" s="264"/>
      <c r="C89" s="293"/>
      <c r="D89" s="534" t="s">
        <v>210</v>
      </c>
      <c r="E89" s="522" t="s">
        <v>715</v>
      </c>
      <c r="F89" s="570">
        <v>50000</v>
      </c>
      <c r="G89" s="348">
        <v>0</v>
      </c>
      <c r="H89" s="585">
        <f>G89-J89</f>
        <v>0</v>
      </c>
      <c r="I89" s="746">
        <v>0</v>
      </c>
      <c r="J89" s="571">
        <f>G89</f>
        <v>0</v>
      </c>
      <c r="K89" s="569">
        <v>0</v>
      </c>
      <c r="L89" s="306">
        <f t="shared" si="28"/>
        <v>0</v>
      </c>
      <c r="M89" s="357"/>
    </row>
    <row r="90" spans="1:13" s="13" customFormat="1" ht="63.75">
      <c r="A90" s="342"/>
      <c r="B90" s="342"/>
      <c r="C90" s="343"/>
      <c r="D90" s="690" t="s">
        <v>211</v>
      </c>
      <c r="E90" s="687" t="s">
        <v>272</v>
      </c>
      <c r="F90" s="570">
        <v>230900</v>
      </c>
      <c r="G90" s="348">
        <v>0</v>
      </c>
      <c r="H90" s="585">
        <f>G90-J90</f>
        <v>0</v>
      </c>
      <c r="I90" s="746">
        <v>0</v>
      </c>
      <c r="J90" s="571">
        <f>G90</f>
        <v>0</v>
      </c>
      <c r="K90" s="569">
        <v>0</v>
      </c>
      <c r="L90" s="306">
        <f t="shared" si="28"/>
        <v>0</v>
      </c>
      <c r="M90" s="357"/>
    </row>
    <row r="91" spans="1:13" s="13" customFormat="1" ht="12.75">
      <c r="A91" s="307"/>
      <c r="B91" s="307">
        <v>80101</v>
      </c>
      <c r="C91" s="308" t="s">
        <v>882</v>
      </c>
      <c r="D91" s="309"/>
      <c r="E91" s="538"/>
      <c r="F91" s="750">
        <f aca="true" t="shared" si="33" ref="F91:K91">SUM(F86:F90)</f>
        <v>314899</v>
      </c>
      <c r="G91" s="349">
        <f t="shared" si="33"/>
        <v>5500</v>
      </c>
      <c r="H91" s="349">
        <f t="shared" si="33"/>
        <v>5500</v>
      </c>
      <c r="I91" s="577">
        <f t="shared" si="33"/>
        <v>0</v>
      </c>
      <c r="J91" s="349">
        <f t="shared" si="33"/>
        <v>0</v>
      </c>
      <c r="K91" s="572">
        <f t="shared" si="33"/>
        <v>0</v>
      </c>
      <c r="L91" s="310">
        <f t="shared" si="28"/>
        <v>0.01746591764343488</v>
      </c>
      <c r="M91" s="357"/>
    </row>
    <row r="92" spans="1:13" s="13" customFormat="1" ht="25.5">
      <c r="A92" s="264">
        <v>801</v>
      </c>
      <c r="B92" s="264">
        <v>80104</v>
      </c>
      <c r="C92" s="293" t="s">
        <v>483</v>
      </c>
      <c r="D92" s="534" t="s">
        <v>424</v>
      </c>
      <c r="E92" s="540" t="s">
        <v>484</v>
      </c>
      <c r="F92" s="751">
        <f>F93+F94</f>
        <v>335000</v>
      </c>
      <c r="G92" s="353">
        <f>G93+G94</f>
        <v>380000</v>
      </c>
      <c r="H92" s="585">
        <f aca="true" t="shared" si="34" ref="H92:H97">G92-J92</f>
        <v>380000</v>
      </c>
      <c r="I92" s="746">
        <f>I93+I94</f>
        <v>0</v>
      </c>
      <c r="J92" s="571">
        <v>0</v>
      </c>
      <c r="K92" s="569">
        <f>K93+K94</f>
        <v>0</v>
      </c>
      <c r="L92" s="306">
        <f t="shared" si="28"/>
        <v>1.1343283582089552</v>
      </c>
      <c r="M92" s="357"/>
    </row>
    <row r="93" spans="1:13" s="14" customFormat="1" ht="13.5">
      <c r="A93" s="264"/>
      <c r="B93" s="264"/>
      <c r="C93" s="319"/>
      <c r="D93" s="320"/>
      <c r="E93" s="545" t="s">
        <v>485</v>
      </c>
      <c r="F93" s="752">
        <v>220000</v>
      </c>
      <c r="G93" s="354">
        <v>250000</v>
      </c>
      <c r="H93" s="748">
        <f t="shared" si="34"/>
        <v>250000</v>
      </c>
      <c r="I93" s="747">
        <v>0</v>
      </c>
      <c r="J93" s="579">
        <v>0</v>
      </c>
      <c r="K93" s="578">
        <v>0</v>
      </c>
      <c r="L93" s="321">
        <f t="shared" si="28"/>
        <v>1.1363636363636365</v>
      </c>
      <c r="M93" s="357"/>
    </row>
    <row r="94" spans="1:13" s="15" customFormat="1" ht="25.5">
      <c r="A94" s="264"/>
      <c r="B94" s="264"/>
      <c r="C94" s="319"/>
      <c r="D94" s="320"/>
      <c r="E94" s="545" t="s">
        <v>215</v>
      </c>
      <c r="F94" s="752">
        <v>115000</v>
      </c>
      <c r="G94" s="354">
        <v>130000</v>
      </c>
      <c r="H94" s="748">
        <f t="shared" si="34"/>
        <v>130000</v>
      </c>
      <c r="I94" s="747">
        <v>0</v>
      </c>
      <c r="J94" s="579">
        <v>0</v>
      </c>
      <c r="K94" s="578">
        <v>0</v>
      </c>
      <c r="L94" s="321">
        <f t="shared" si="28"/>
        <v>1.1304347826086956</v>
      </c>
      <c r="M94" s="357"/>
    </row>
    <row r="95" spans="1:13" s="16" customFormat="1" ht="12.75" customHeight="1">
      <c r="A95" s="264"/>
      <c r="B95" s="264"/>
      <c r="C95" s="293"/>
      <c r="D95" s="534" t="s">
        <v>878</v>
      </c>
      <c r="E95" s="540" t="s">
        <v>478</v>
      </c>
      <c r="F95" s="570">
        <v>1300</v>
      </c>
      <c r="G95" s="348">
        <v>500</v>
      </c>
      <c r="H95" s="585">
        <f t="shared" si="34"/>
        <v>500</v>
      </c>
      <c r="I95" s="583">
        <v>0</v>
      </c>
      <c r="J95" s="571">
        <v>0</v>
      </c>
      <c r="K95" s="574">
        <v>0</v>
      </c>
      <c r="L95" s="306">
        <f t="shared" si="28"/>
        <v>0.38461538461538464</v>
      </c>
      <c r="M95" s="357" t="s">
        <v>285</v>
      </c>
    </row>
    <row r="96" spans="1:13" s="16" customFormat="1" ht="12.75" customHeight="1">
      <c r="A96" s="264"/>
      <c r="B96" s="264"/>
      <c r="C96" s="293"/>
      <c r="D96" s="534" t="s">
        <v>897</v>
      </c>
      <c r="E96" s="540" t="s">
        <v>50</v>
      </c>
      <c r="F96" s="570">
        <v>200</v>
      </c>
      <c r="G96" s="348">
        <v>200</v>
      </c>
      <c r="H96" s="585">
        <f t="shared" si="34"/>
        <v>200</v>
      </c>
      <c r="I96" s="583">
        <v>0</v>
      </c>
      <c r="J96" s="571">
        <v>0</v>
      </c>
      <c r="K96" s="574">
        <v>0</v>
      </c>
      <c r="L96" s="306">
        <f t="shared" si="28"/>
        <v>1</v>
      </c>
      <c r="M96" s="357" t="s">
        <v>137</v>
      </c>
    </row>
    <row r="97" spans="1:13" s="16" customFormat="1" ht="76.5">
      <c r="A97" s="264"/>
      <c r="B97" s="264"/>
      <c r="C97" s="293"/>
      <c r="D97" s="644" t="s">
        <v>486</v>
      </c>
      <c r="E97" s="544" t="s">
        <v>112</v>
      </c>
      <c r="F97" s="570">
        <v>117000</v>
      </c>
      <c r="G97" s="348">
        <v>120000</v>
      </c>
      <c r="H97" s="585">
        <f t="shared" si="34"/>
        <v>120000</v>
      </c>
      <c r="I97" s="583">
        <v>0</v>
      </c>
      <c r="J97" s="571">
        <v>0</v>
      </c>
      <c r="K97" s="574">
        <v>0</v>
      </c>
      <c r="L97" s="306">
        <f t="shared" si="28"/>
        <v>1.0256410256410255</v>
      </c>
      <c r="M97" s="357" t="s">
        <v>137</v>
      </c>
    </row>
    <row r="98" spans="1:13" s="13" customFormat="1" ht="12.75">
      <c r="A98" s="307"/>
      <c r="B98" s="307">
        <v>80104</v>
      </c>
      <c r="C98" s="308" t="s">
        <v>882</v>
      </c>
      <c r="D98" s="309"/>
      <c r="E98" s="538"/>
      <c r="F98" s="750">
        <f aca="true" t="shared" si="35" ref="F98:K98">F92+F95+F96+F97</f>
        <v>453500</v>
      </c>
      <c r="G98" s="349">
        <f t="shared" si="35"/>
        <v>500700</v>
      </c>
      <c r="H98" s="349">
        <f t="shared" si="35"/>
        <v>500700</v>
      </c>
      <c r="I98" s="577">
        <f t="shared" si="35"/>
        <v>0</v>
      </c>
      <c r="J98" s="349">
        <f t="shared" si="35"/>
        <v>0</v>
      </c>
      <c r="K98" s="581">
        <f t="shared" si="35"/>
        <v>0</v>
      </c>
      <c r="L98" s="400">
        <f t="shared" si="28"/>
        <v>1.1040793825799338</v>
      </c>
      <c r="M98" s="357"/>
    </row>
    <row r="99" spans="1:13" s="13" customFormat="1" ht="12.75" customHeight="1">
      <c r="A99" s="264">
        <v>801</v>
      </c>
      <c r="B99" s="264">
        <v>80110</v>
      </c>
      <c r="C99" s="293" t="s">
        <v>113</v>
      </c>
      <c r="D99" s="314" t="s">
        <v>897</v>
      </c>
      <c r="E99" s="541" t="s">
        <v>50</v>
      </c>
      <c r="F99" s="753">
        <v>800</v>
      </c>
      <c r="G99" s="352">
        <v>900</v>
      </c>
      <c r="H99" s="585">
        <f>G99-J99</f>
        <v>900</v>
      </c>
      <c r="I99" s="583">
        <v>0</v>
      </c>
      <c r="J99" s="571">
        <v>0</v>
      </c>
      <c r="K99" s="574">
        <v>0</v>
      </c>
      <c r="L99" s="306">
        <f t="shared" si="28"/>
        <v>1.125</v>
      </c>
      <c r="M99" s="357" t="s">
        <v>285</v>
      </c>
    </row>
    <row r="100" spans="1:13" s="13" customFormat="1" ht="12.75">
      <c r="A100" s="307"/>
      <c r="B100" s="307">
        <v>80110</v>
      </c>
      <c r="C100" s="308" t="s">
        <v>882</v>
      </c>
      <c r="D100" s="309"/>
      <c r="E100" s="538"/>
      <c r="F100" s="750">
        <f aca="true" t="shared" si="36" ref="F100:K100">SUM(F99:F99)</f>
        <v>800</v>
      </c>
      <c r="G100" s="349">
        <f t="shared" si="36"/>
        <v>900</v>
      </c>
      <c r="H100" s="349">
        <f t="shared" si="36"/>
        <v>900</v>
      </c>
      <c r="I100" s="577">
        <f t="shared" si="36"/>
        <v>0</v>
      </c>
      <c r="J100" s="349">
        <f t="shared" si="36"/>
        <v>0</v>
      </c>
      <c r="K100" s="572">
        <f t="shared" si="36"/>
        <v>0</v>
      </c>
      <c r="L100" s="310">
        <f t="shared" si="28"/>
        <v>1.125</v>
      </c>
      <c r="M100" s="357"/>
    </row>
    <row r="101" spans="1:13" s="13" customFormat="1" ht="114.75">
      <c r="A101" s="264">
        <v>801</v>
      </c>
      <c r="B101" s="264">
        <v>80195</v>
      </c>
      <c r="C101" s="293" t="s">
        <v>51</v>
      </c>
      <c r="D101" s="316" t="s">
        <v>213</v>
      </c>
      <c r="E101" s="548" t="s">
        <v>730</v>
      </c>
      <c r="F101" s="570">
        <v>84685.5</v>
      </c>
      <c r="G101" s="348">
        <v>0</v>
      </c>
      <c r="H101" s="585">
        <f>G101-J101</f>
        <v>0</v>
      </c>
      <c r="I101" s="583">
        <f>H101</f>
        <v>0</v>
      </c>
      <c r="J101" s="571">
        <v>0</v>
      </c>
      <c r="K101" s="574">
        <v>0</v>
      </c>
      <c r="L101" s="306">
        <f t="shared" si="28"/>
        <v>0</v>
      </c>
      <c r="M101" s="357" t="s">
        <v>564</v>
      </c>
    </row>
    <row r="102" spans="1:13" s="13" customFormat="1" ht="114.75">
      <c r="A102" s="264"/>
      <c r="B102" s="264"/>
      <c r="C102" s="293"/>
      <c r="D102" s="316" t="s">
        <v>360</v>
      </c>
      <c r="E102" s="548" t="s">
        <v>730</v>
      </c>
      <c r="F102" s="570">
        <v>14944.5</v>
      </c>
      <c r="G102" s="348">
        <v>0</v>
      </c>
      <c r="H102" s="585">
        <f>G102-J102</f>
        <v>0</v>
      </c>
      <c r="I102" s="583">
        <f>H102</f>
        <v>0</v>
      </c>
      <c r="J102" s="571">
        <v>0</v>
      </c>
      <c r="K102" s="574">
        <v>0</v>
      </c>
      <c r="L102" s="306">
        <f t="shared" si="28"/>
        <v>0</v>
      </c>
      <c r="M102" s="357"/>
    </row>
    <row r="103" spans="1:13" s="13" customFormat="1" ht="12.75">
      <c r="A103" s="307"/>
      <c r="B103" s="307">
        <v>80195</v>
      </c>
      <c r="C103" s="308" t="s">
        <v>882</v>
      </c>
      <c r="D103" s="309"/>
      <c r="E103" s="538"/>
      <c r="F103" s="750">
        <f aca="true" t="shared" si="37" ref="F103:K103">SUM(F101:F102)</f>
        <v>99630</v>
      </c>
      <c r="G103" s="349">
        <f t="shared" si="37"/>
        <v>0</v>
      </c>
      <c r="H103" s="349">
        <f t="shared" si="37"/>
        <v>0</v>
      </c>
      <c r="I103" s="577">
        <f t="shared" si="37"/>
        <v>0</v>
      </c>
      <c r="J103" s="349">
        <f t="shared" si="37"/>
        <v>0</v>
      </c>
      <c r="K103" s="581">
        <f t="shared" si="37"/>
        <v>0</v>
      </c>
      <c r="L103" s="400">
        <f t="shared" si="28"/>
        <v>0</v>
      </c>
      <c r="M103" s="357"/>
    </row>
    <row r="104" spans="1:13" s="13" customFormat="1" ht="12.75">
      <c r="A104" s="291">
        <v>801</v>
      </c>
      <c r="B104" s="291"/>
      <c r="C104" s="292" t="s">
        <v>883</v>
      </c>
      <c r="D104" s="312"/>
      <c r="E104" s="539"/>
      <c r="F104" s="588">
        <f aca="true" t="shared" si="38" ref="F104:K104">F91+F98+F100+F103</f>
        <v>868829</v>
      </c>
      <c r="G104" s="350">
        <f t="shared" si="38"/>
        <v>507100</v>
      </c>
      <c r="H104" s="350">
        <f t="shared" si="38"/>
        <v>507100</v>
      </c>
      <c r="I104" s="575">
        <f t="shared" si="38"/>
        <v>0</v>
      </c>
      <c r="J104" s="350">
        <f t="shared" si="38"/>
        <v>0</v>
      </c>
      <c r="K104" s="573">
        <f t="shared" si="38"/>
        <v>0</v>
      </c>
      <c r="L104" s="313">
        <f t="shared" si="28"/>
        <v>0.5836591550236008</v>
      </c>
      <c r="M104" s="357"/>
    </row>
    <row r="105" spans="1:13" s="13" customFormat="1" ht="76.5">
      <c r="A105" s="264">
        <v>852</v>
      </c>
      <c r="B105" s="264">
        <v>85212</v>
      </c>
      <c r="C105" s="295" t="s">
        <v>300</v>
      </c>
      <c r="D105" s="314" t="s">
        <v>897</v>
      </c>
      <c r="E105" s="541" t="s">
        <v>50</v>
      </c>
      <c r="F105" s="570">
        <v>0</v>
      </c>
      <c r="G105" s="348">
        <v>0</v>
      </c>
      <c r="H105" s="585">
        <f>G105-J105</f>
        <v>0</v>
      </c>
      <c r="I105" s="583">
        <v>0</v>
      </c>
      <c r="J105" s="571">
        <v>0</v>
      </c>
      <c r="K105" s="574">
        <v>0</v>
      </c>
      <c r="L105" s="306"/>
      <c r="M105" s="357" t="s">
        <v>791</v>
      </c>
    </row>
    <row r="106" spans="1:13" s="13" customFormat="1" ht="76.5">
      <c r="A106" s="322"/>
      <c r="B106" s="322"/>
      <c r="C106" s="322"/>
      <c r="D106" s="314" t="s">
        <v>893</v>
      </c>
      <c r="E106" s="522" t="s">
        <v>894</v>
      </c>
      <c r="F106" s="580">
        <v>3418000</v>
      </c>
      <c r="G106" s="351">
        <v>3368000</v>
      </c>
      <c r="H106" s="585">
        <f>G106-J106</f>
        <v>3368000</v>
      </c>
      <c r="I106" s="583">
        <v>0</v>
      </c>
      <c r="J106" s="571">
        <v>0</v>
      </c>
      <c r="K106" s="574">
        <v>0</v>
      </c>
      <c r="L106" s="306">
        <f aca="true" t="shared" si="39" ref="L106:L137">G106/F106</f>
        <v>0.9853715623171445</v>
      </c>
      <c r="M106" s="357" t="s">
        <v>834</v>
      </c>
    </row>
    <row r="107" spans="1:13" s="13" customFormat="1" ht="76.5">
      <c r="A107" s="322"/>
      <c r="B107" s="322"/>
      <c r="C107" s="322"/>
      <c r="D107" s="316" t="s">
        <v>895</v>
      </c>
      <c r="E107" s="544" t="s">
        <v>807</v>
      </c>
      <c r="F107" s="580">
        <v>25000</v>
      </c>
      <c r="G107" s="351">
        <v>33300</v>
      </c>
      <c r="H107" s="585">
        <f>G107-J107</f>
        <v>33300</v>
      </c>
      <c r="I107" s="583">
        <v>0</v>
      </c>
      <c r="J107" s="571">
        <v>0</v>
      </c>
      <c r="K107" s="574">
        <v>0</v>
      </c>
      <c r="L107" s="306">
        <f t="shared" si="39"/>
        <v>1.332</v>
      </c>
      <c r="M107" s="357" t="s">
        <v>835</v>
      </c>
    </row>
    <row r="108" spans="1:13" s="13" customFormat="1" ht="12.75">
      <c r="A108" s="307"/>
      <c r="B108" s="307">
        <v>85212</v>
      </c>
      <c r="C108" s="308" t="s">
        <v>882</v>
      </c>
      <c r="D108" s="309"/>
      <c r="E108" s="538"/>
      <c r="F108" s="750">
        <f aca="true" t="shared" si="40" ref="F108:K108">SUM(F105:F107)</f>
        <v>3443000</v>
      </c>
      <c r="G108" s="349">
        <f t="shared" si="40"/>
        <v>3401300</v>
      </c>
      <c r="H108" s="349">
        <f t="shared" si="40"/>
        <v>3401300</v>
      </c>
      <c r="I108" s="577">
        <f t="shared" si="40"/>
        <v>0</v>
      </c>
      <c r="J108" s="349">
        <f t="shared" si="40"/>
        <v>0</v>
      </c>
      <c r="K108" s="349">
        <f t="shared" si="40"/>
        <v>0</v>
      </c>
      <c r="L108" s="310">
        <f t="shared" si="39"/>
        <v>0.9878884693581179</v>
      </c>
      <c r="M108" s="357"/>
    </row>
    <row r="109" spans="1:13" s="13" customFormat="1" ht="114.75">
      <c r="A109" s="264">
        <v>852</v>
      </c>
      <c r="B109" s="264">
        <v>85213</v>
      </c>
      <c r="C109" s="293" t="s">
        <v>116</v>
      </c>
      <c r="D109" s="314" t="s">
        <v>893</v>
      </c>
      <c r="E109" s="522" t="s">
        <v>894</v>
      </c>
      <c r="F109" s="570">
        <v>6000</v>
      </c>
      <c r="G109" s="348">
        <v>6000</v>
      </c>
      <c r="H109" s="585">
        <f>G109-J109</f>
        <v>6000</v>
      </c>
      <c r="I109" s="583">
        <v>0</v>
      </c>
      <c r="J109" s="571">
        <v>0</v>
      </c>
      <c r="K109" s="574">
        <v>0</v>
      </c>
      <c r="L109" s="306">
        <f t="shared" si="39"/>
        <v>1</v>
      </c>
      <c r="M109" s="357"/>
    </row>
    <row r="110" spans="1:13" s="13" customFormat="1" ht="51">
      <c r="A110" s="264"/>
      <c r="B110" s="264"/>
      <c r="C110" s="293"/>
      <c r="D110" s="314" t="s">
        <v>481</v>
      </c>
      <c r="E110" s="522" t="s">
        <v>85</v>
      </c>
      <c r="F110" s="570">
        <v>31700</v>
      </c>
      <c r="G110" s="348">
        <v>32400</v>
      </c>
      <c r="H110" s="585">
        <f>G110-J110</f>
        <v>32400</v>
      </c>
      <c r="I110" s="583">
        <v>0</v>
      </c>
      <c r="J110" s="571">
        <v>0</v>
      </c>
      <c r="K110" s="574">
        <v>0</v>
      </c>
      <c r="L110" s="306">
        <f t="shared" si="39"/>
        <v>1.0220820189274449</v>
      </c>
      <c r="M110" s="357" t="s">
        <v>729</v>
      </c>
    </row>
    <row r="111" spans="1:13" s="13" customFormat="1" ht="12.75">
      <c r="A111" s="307"/>
      <c r="B111" s="307">
        <v>85213</v>
      </c>
      <c r="C111" s="308" t="s">
        <v>882</v>
      </c>
      <c r="D111" s="309"/>
      <c r="E111" s="538"/>
      <c r="F111" s="750">
        <f aca="true" t="shared" si="41" ref="F111:K111">SUM(F109:F110)</f>
        <v>37700</v>
      </c>
      <c r="G111" s="349">
        <f t="shared" si="41"/>
        <v>38400</v>
      </c>
      <c r="H111" s="349">
        <f t="shared" si="41"/>
        <v>38400</v>
      </c>
      <c r="I111" s="577">
        <f t="shared" si="41"/>
        <v>0</v>
      </c>
      <c r="J111" s="349">
        <f t="shared" si="41"/>
        <v>0</v>
      </c>
      <c r="K111" s="572">
        <f t="shared" si="41"/>
        <v>0</v>
      </c>
      <c r="L111" s="310">
        <f t="shared" si="39"/>
        <v>1.0185676392572944</v>
      </c>
      <c r="M111" s="357"/>
    </row>
    <row r="112" spans="1:13" s="13" customFormat="1" ht="51">
      <c r="A112" s="264">
        <v>852</v>
      </c>
      <c r="B112" s="264">
        <v>85214</v>
      </c>
      <c r="C112" s="293" t="s">
        <v>117</v>
      </c>
      <c r="D112" s="314" t="s">
        <v>481</v>
      </c>
      <c r="E112" s="522" t="s">
        <v>85</v>
      </c>
      <c r="F112" s="570">
        <v>39000</v>
      </c>
      <c r="G112" s="348">
        <v>39000</v>
      </c>
      <c r="H112" s="585">
        <f>G112-J112</f>
        <v>39000</v>
      </c>
      <c r="I112" s="583">
        <v>0</v>
      </c>
      <c r="J112" s="571">
        <v>0</v>
      </c>
      <c r="K112" s="574">
        <v>0</v>
      </c>
      <c r="L112" s="306">
        <f t="shared" si="39"/>
        <v>1</v>
      </c>
      <c r="M112" s="357"/>
    </row>
    <row r="113" spans="1:13" s="13" customFormat="1" ht="12.75">
      <c r="A113" s="307"/>
      <c r="B113" s="307">
        <v>85214</v>
      </c>
      <c r="C113" s="308" t="s">
        <v>882</v>
      </c>
      <c r="D113" s="309"/>
      <c r="E113" s="538"/>
      <c r="F113" s="750">
        <f aca="true" t="shared" si="42" ref="F113:K113">SUM(F112:F112)</f>
        <v>39000</v>
      </c>
      <c r="G113" s="349">
        <f t="shared" si="42"/>
        <v>39000</v>
      </c>
      <c r="H113" s="349">
        <f t="shared" si="42"/>
        <v>39000</v>
      </c>
      <c r="I113" s="577">
        <f t="shared" si="42"/>
        <v>0</v>
      </c>
      <c r="J113" s="349">
        <f t="shared" si="42"/>
        <v>0</v>
      </c>
      <c r="K113" s="572">
        <f t="shared" si="42"/>
        <v>0</v>
      </c>
      <c r="L113" s="310">
        <f t="shared" si="39"/>
        <v>1</v>
      </c>
      <c r="M113" s="357"/>
    </row>
    <row r="114" spans="1:13" s="13" customFormat="1" ht="51">
      <c r="A114" s="264">
        <v>852</v>
      </c>
      <c r="B114" s="264">
        <v>85216</v>
      </c>
      <c r="C114" s="315" t="s">
        <v>480</v>
      </c>
      <c r="D114" s="314" t="s">
        <v>481</v>
      </c>
      <c r="E114" s="522" t="s">
        <v>85</v>
      </c>
      <c r="F114" s="570">
        <v>353400</v>
      </c>
      <c r="G114" s="348">
        <v>310000</v>
      </c>
      <c r="H114" s="585">
        <f>G114-J114</f>
        <v>310000</v>
      </c>
      <c r="I114" s="583">
        <v>0</v>
      </c>
      <c r="J114" s="348">
        <v>0</v>
      </c>
      <c r="K114" s="574">
        <v>0</v>
      </c>
      <c r="L114" s="306">
        <f t="shared" si="39"/>
        <v>0.8771929824561403</v>
      </c>
      <c r="M114" s="357"/>
    </row>
    <row r="115" spans="1:13" s="13" customFormat="1" ht="12.75">
      <c r="A115" s="307"/>
      <c r="B115" s="307">
        <v>85216</v>
      </c>
      <c r="C115" s="308" t="s">
        <v>882</v>
      </c>
      <c r="D115" s="309"/>
      <c r="E115" s="538"/>
      <c r="F115" s="750">
        <f aca="true" t="shared" si="43" ref="F115:K115">SUM(F114)</f>
        <v>353400</v>
      </c>
      <c r="G115" s="349">
        <f t="shared" si="43"/>
        <v>310000</v>
      </c>
      <c r="H115" s="349">
        <f t="shared" si="43"/>
        <v>310000</v>
      </c>
      <c r="I115" s="577">
        <f t="shared" si="43"/>
        <v>0</v>
      </c>
      <c r="J115" s="349">
        <f t="shared" si="43"/>
        <v>0</v>
      </c>
      <c r="K115" s="572">
        <f t="shared" si="43"/>
        <v>0</v>
      </c>
      <c r="L115" s="310">
        <f t="shared" si="39"/>
        <v>0.8771929824561403</v>
      </c>
      <c r="M115" s="357"/>
    </row>
    <row r="116" spans="1:13" s="13" customFormat="1" ht="25.5">
      <c r="A116" s="264">
        <v>852</v>
      </c>
      <c r="B116" s="264">
        <v>85219</v>
      </c>
      <c r="C116" s="293" t="s">
        <v>118</v>
      </c>
      <c r="D116" s="314" t="s">
        <v>878</v>
      </c>
      <c r="E116" s="541" t="s">
        <v>478</v>
      </c>
      <c r="F116" s="570">
        <v>6500</v>
      </c>
      <c r="G116" s="348">
        <v>5800</v>
      </c>
      <c r="H116" s="585">
        <f>G116-J116</f>
        <v>5800</v>
      </c>
      <c r="I116" s="583">
        <v>0</v>
      </c>
      <c r="J116" s="571">
        <v>0</v>
      </c>
      <c r="K116" s="574">
        <v>0</v>
      </c>
      <c r="L116" s="306">
        <f t="shared" si="39"/>
        <v>0.8923076923076924</v>
      </c>
      <c r="M116" s="357" t="s">
        <v>285</v>
      </c>
    </row>
    <row r="117" spans="1:13" s="13" customFormat="1" ht="51">
      <c r="A117" s="264"/>
      <c r="B117" s="264"/>
      <c r="C117" s="293"/>
      <c r="D117" s="314" t="s">
        <v>481</v>
      </c>
      <c r="E117" s="522" t="s">
        <v>85</v>
      </c>
      <c r="F117" s="570">
        <v>153700</v>
      </c>
      <c r="G117" s="348">
        <v>140000</v>
      </c>
      <c r="H117" s="585">
        <f>G117-J117</f>
        <v>140000</v>
      </c>
      <c r="I117" s="583">
        <v>0</v>
      </c>
      <c r="J117" s="571">
        <v>0</v>
      </c>
      <c r="K117" s="574">
        <v>0</v>
      </c>
      <c r="L117" s="306">
        <f t="shared" si="39"/>
        <v>0.9108653220559532</v>
      </c>
      <c r="M117" s="357" t="s">
        <v>777</v>
      </c>
    </row>
    <row r="118" spans="1:13" s="13" customFormat="1" ht="12.75">
      <c r="A118" s="307"/>
      <c r="B118" s="307">
        <v>85219</v>
      </c>
      <c r="C118" s="308" t="s">
        <v>882</v>
      </c>
      <c r="D118" s="309"/>
      <c r="E118" s="538"/>
      <c r="F118" s="750">
        <f aca="true" t="shared" si="44" ref="F118:K118">SUM(F116:F117)</f>
        <v>160200</v>
      </c>
      <c r="G118" s="349">
        <f t="shared" si="44"/>
        <v>145800</v>
      </c>
      <c r="H118" s="349">
        <f t="shared" si="44"/>
        <v>145800</v>
      </c>
      <c r="I118" s="577">
        <f t="shared" si="44"/>
        <v>0</v>
      </c>
      <c r="J118" s="349">
        <f t="shared" si="44"/>
        <v>0</v>
      </c>
      <c r="K118" s="572">
        <f t="shared" si="44"/>
        <v>0</v>
      </c>
      <c r="L118" s="310">
        <f t="shared" si="39"/>
        <v>0.9101123595505618</v>
      </c>
      <c r="M118" s="357"/>
    </row>
    <row r="119" spans="1:13" s="13" customFormat="1" ht="38.25">
      <c r="A119" s="264">
        <v>852</v>
      </c>
      <c r="B119" s="264">
        <v>85228</v>
      </c>
      <c r="C119" s="293" t="s">
        <v>119</v>
      </c>
      <c r="D119" s="534" t="s">
        <v>876</v>
      </c>
      <c r="E119" s="691" t="s">
        <v>877</v>
      </c>
      <c r="F119" s="570">
        <v>17500</v>
      </c>
      <c r="G119" s="348">
        <v>20000</v>
      </c>
      <c r="H119" s="585">
        <f>G119-J119</f>
        <v>20000</v>
      </c>
      <c r="I119" s="583">
        <v>0</v>
      </c>
      <c r="J119" s="571">
        <v>0</v>
      </c>
      <c r="K119" s="574">
        <v>0</v>
      </c>
      <c r="L119" s="306">
        <f t="shared" si="39"/>
        <v>1.1428571428571428</v>
      </c>
      <c r="M119" s="357" t="s">
        <v>830</v>
      </c>
    </row>
    <row r="120" spans="1:13" s="13" customFormat="1" ht="76.5">
      <c r="A120" s="264"/>
      <c r="B120" s="264"/>
      <c r="C120" s="293"/>
      <c r="D120" s="534" t="s">
        <v>893</v>
      </c>
      <c r="E120" s="540" t="s">
        <v>894</v>
      </c>
      <c r="F120" s="570">
        <v>47500</v>
      </c>
      <c r="G120" s="348">
        <v>47500</v>
      </c>
      <c r="H120" s="585">
        <f>G120-J120</f>
        <v>47500</v>
      </c>
      <c r="I120" s="583">
        <v>0</v>
      </c>
      <c r="J120" s="571">
        <v>0</v>
      </c>
      <c r="K120" s="574">
        <v>0</v>
      </c>
      <c r="L120" s="306">
        <f t="shared" si="39"/>
        <v>1</v>
      </c>
      <c r="M120" s="357"/>
    </row>
    <row r="121" spans="1:13" s="13" customFormat="1" ht="12.75">
      <c r="A121" s="307"/>
      <c r="B121" s="307">
        <v>85228</v>
      </c>
      <c r="C121" s="308" t="s">
        <v>882</v>
      </c>
      <c r="D121" s="309"/>
      <c r="E121" s="538"/>
      <c r="F121" s="750">
        <f aca="true" t="shared" si="45" ref="F121:K121">SUM(F119:F120)</f>
        <v>65000</v>
      </c>
      <c r="G121" s="349">
        <f t="shared" si="45"/>
        <v>67500</v>
      </c>
      <c r="H121" s="349">
        <f t="shared" si="45"/>
        <v>67500</v>
      </c>
      <c r="I121" s="577">
        <f t="shared" si="45"/>
        <v>0</v>
      </c>
      <c r="J121" s="349">
        <f t="shared" si="45"/>
        <v>0</v>
      </c>
      <c r="K121" s="572">
        <f t="shared" si="45"/>
        <v>0</v>
      </c>
      <c r="L121" s="310">
        <f t="shared" si="39"/>
        <v>1.0384615384615385</v>
      </c>
      <c r="M121" s="357"/>
    </row>
    <row r="122" spans="1:13" s="13" customFormat="1" ht="76.5">
      <c r="A122" s="264">
        <v>852</v>
      </c>
      <c r="B122" s="264">
        <v>85295</v>
      </c>
      <c r="C122" s="293" t="s">
        <v>51</v>
      </c>
      <c r="D122" s="642" t="s">
        <v>893</v>
      </c>
      <c r="E122" s="540" t="s">
        <v>894</v>
      </c>
      <c r="F122" s="570">
        <v>2000</v>
      </c>
      <c r="G122" s="348">
        <v>0</v>
      </c>
      <c r="H122" s="571">
        <f>G122-J122</f>
        <v>0</v>
      </c>
      <c r="I122" s="746">
        <v>0</v>
      </c>
      <c r="J122" s="571">
        <v>0</v>
      </c>
      <c r="K122" s="569">
        <v>0</v>
      </c>
      <c r="L122" s="643">
        <f t="shared" si="39"/>
        <v>0</v>
      </c>
      <c r="M122" s="357"/>
    </row>
    <row r="123" spans="1:13" s="13" customFormat="1" ht="102">
      <c r="A123" s="322"/>
      <c r="B123" s="322"/>
      <c r="C123" s="322"/>
      <c r="D123" s="314" t="s">
        <v>481</v>
      </c>
      <c r="E123" s="691" t="s">
        <v>303</v>
      </c>
      <c r="F123" s="570">
        <v>95000</v>
      </c>
      <c r="G123" s="348">
        <v>71500</v>
      </c>
      <c r="H123" s="585">
        <f>G123-J123</f>
        <v>71500</v>
      </c>
      <c r="I123" s="583">
        <v>0</v>
      </c>
      <c r="J123" s="571">
        <v>0</v>
      </c>
      <c r="K123" s="574">
        <v>0</v>
      </c>
      <c r="L123" s="306">
        <f t="shared" si="39"/>
        <v>0.7526315789473684</v>
      </c>
      <c r="M123" s="357" t="s">
        <v>778</v>
      </c>
    </row>
    <row r="124" spans="1:13" s="13" customFormat="1" ht="12.75">
      <c r="A124" s="307"/>
      <c r="B124" s="307">
        <v>85295</v>
      </c>
      <c r="C124" s="308" t="s">
        <v>882</v>
      </c>
      <c r="D124" s="309"/>
      <c r="E124" s="538"/>
      <c r="F124" s="750">
        <f aca="true" t="shared" si="46" ref="F124:K124">SUM(F122:F123)</f>
        <v>97000</v>
      </c>
      <c r="G124" s="349">
        <f t="shared" si="46"/>
        <v>71500</v>
      </c>
      <c r="H124" s="349">
        <f t="shared" si="46"/>
        <v>71500</v>
      </c>
      <c r="I124" s="577">
        <f t="shared" si="46"/>
        <v>0</v>
      </c>
      <c r="J124" s="349">
        <f t="shared" si="46"/>
        <v>0</v>
      </c>
      <c r="K124" s="572">
        <f t="shared" si="46"/>
        <v>0</v>
      </c>
      <c r="L124" s="310">
        <f t="shared" si="39"/>
        <v>0.7371134020618557</v>
      </c>
      <c r="M124" s="357"/>
    </row>
    <row r="125" spans="1:13" s="17" customFormat="1" ht="12.75">
      <c r="A125" s="291">
        <v>852</v>
      </c>
      <c r="B125" s="291"/>
      <c r="C125" s="292" t="s">
        <v>474</v>
      </c>
      <c r="D125" s="312"/>
      <c r="E125" s="539"/>
      <c r="F125" s="588">
        <f aca="true" t="shared" si="47" ref="F125:K125">F108+F111+F113+F115+F118+F121+F124</f>
        <v>4195300</v>
      </c>
      <c r="G125" s="350">
        <f t="shared" si="47"/>
        <v>4073500</v>
      </c>
      <c r="H125" s="350">
        <f t="shared" si="47"/>
        <v>4073500</v>
      </c>
      <c r="I125" s="575">
        <f t="shared" si="47"/>
        <v>0</v>
      </c>
      <c r="J125" s="350">
        <f t="shared" si="47"/>
        <v>0</v>
      </c>
      <c r="K125" s="573">
        <f t="shared" si="47"/>
        <v>0</v>
      </c>
      <c r="L125" s="313">
        <f t="shared" si="39"/>
        <v>0.9709675112626034</v>
      </c>
      <c r="M125" s="357"/>
    </row>
    <row r="126" spans="1:13" s="13" customFormat="1" ht="114.75">
      <c r="A126" s="264">
        <v>853</v>
      </c>
      <c r="B126" s="264">
        <v>85395</v>
      </c>
      <c r="C126" s="293" t="s">
        <v>51</v>
      </c>
      <c r="D126" s="316" t="s">
        <v>213</v>
      </c>
      <c r="E126" s="548" t="s">
        <v>730</v>
      </c>
      <c r="F126" s="570">
        <v>128659.61</v>
      </c>
      <c r="G126" s="348">
        <v>0</v>
      </c>
      <c r="H126" s="585">
        <f>G126-J126</f>
        <v>0</v>
      </c>
      <c r="I126" s="583">
        <f>G126</f>
        <v>0</v>
      </c>
      <c r="J126" s="571">
        <v>0</v>
      </c>
      <c r="K126" s="574">
        <v>0</v>
      </c>
      <c r="L126" s="306">
        <f t="shared" si="39"/>
        <v>0</v>
      </c>
      <c r="M126" s="398" t="s">
        <v>564</v>
      </c>
    </row>
    <row r="127" spans="1:13" s="13" customFormat="1" ht="114.75">
      <c r="A127" s="264"/>
      <c r="B127" s="264"/>
      <c r="C127" s="293"/>
      <c r="D127" s="316" t="s">
        <v>360</v>
      </c>
      <c r="E127" s="548" t="s">
        <v>730</v>
      </c>
      <c r="F127" s="570">
        <v>6811.39</v>
      </c>
      <c r="G127" s="348">
        <v>0</v>
      </c>
      <c r="H127" s="585">
        <f>G127-J127</f>
        <v>0</v>
      </c>
      <c r="I127" s="583">
        <f>G127</f>
        <v>0</v>
      </c>
      <c r="J127" s="571">
        <v>0</v>
      </c>
      <c r="K127" s="574">
        <v>0</v>
      </c>
      <c r="L127" s="306">
        <f t="shared" si="39"/>
        <v>0</v>
      </c>
      <c r="M127" s="398" t="s">
        <v>564</v>
      </c>
    </row>
    <row r="128" spans="1:13" s="13" customFormat="1" ht="12.75">
      <c r="A128" s="307"/>
      <c r="B128" s="307">
        <v>85395</v>
      </c>
      <c r="C128" s="308" t="s">
        <v>882</v>
      </c>
      <c r="D128" s="309"/>
      <c r="E128" s="538"/>
      <c r="F128" s="750">
        <f aca="true" t="shared" si="48" ref="F128:K128">SUM(F126:F127)</f>
        <v>135471</v>
      </c>
      <c r="G128" s="349">
        <f t="shared" si="48"/>
        <v>0</v>
      </c>
      <c r="H128" s="349">
        <f t="shared" si="48"/>
        <v>0</v>
      </c>
      <c r="I128" s="577">
        <f t="shared" si="48"/>
        <v>0</v>
      </c>
      <c r="J128" s="349">
        <f t="shared" si="48"/>
        <v>0</v>
      </c>
      <c r="K128" s="581">
        <f t="shared" si="48"/>
        <v>0</v>
      </c>
      <c r="L128" s="400">
        <f t="shared" si="39"/>
        <v>0</v>
      </c>
      <c r="M128" s="357"/>
    </row>
    <row r="129" spans="1:13" s="17" customFormat="1" ht="12.75">
      <c r="A129" s="291">
        <v>853</v>
      </c>
      <c r="B129" s="291"/>
      <c r="C129" s="292" t="s">
        <v>474</v>
      </c>
      <c r="D129" s="312"/>
      <c r="E129" s="539"/>
      <c r="F129" s="588">
        <f aca="true" t="shared" si="49" ref="F129:K129">SUM(F126:F127)</f>
        <v>135471</v>
      </c>
      <c r="G129" s="350">
        <f t="shared" si="49"/>
        <v>0</v>
      </c>
      <c r="H129" s="350">
        <f t="shared" si="49"/>
        <v>0</v>
      </c>
      <c r="I129" s="575">
        <f t="shared" si="49"/>
        <v>0</v>
      </c>
      <c r="J129" s="350">
        <f t="shared" si="49"/>
        <v>0</v>
      </c>
      <c r="K129" s="576">
        <f t="shared" si="49"/>
        <v>0</v>
      </c>
      <c r="L129" s="399">
        <f t="shared" si="39"/>
        <v>0</v>
      </c>
      <c r="M129" s="357"/>
    </row>
    <row r="130" spans="1:13" s="13" customFormat="1" ht="89.25">
      <c r="A130" s="264">
        <v>854</v>
      </c>
      <c r="B130" s="264">
        <v>85415</v>
      </c>
      <c r="C130" s="293" t="s">
        <v>120</v>
      </c>
      <c r="D130" s="314" t="s">
        <v>481</v>
      </c>
      <c r="E130" s="692" t="s">
        <v>304</v>
      </c>
      <c r="F130" s="570">
        <v>81051</v>
      </c>
      <c r="G130" s="348">
        <v>0</v>
      </c>
      <c r="H130" s="585">
        <f>G130-J130</f>
        <v>0</v>
      </c>
      <c r="I130" s="583">
        <v>0</v>
      </c>
      <c r="J130" s="571">
        <v>0</v>
      </c>
      <c r="K130" s="574">
        <v>0</v>
      </c>
      <c r="L130" s="306">
        <f t="shared" si="39"/>
        <v>0</v>
      </c>
      <c r="M130" s="357"/>
    </row>
    <row r="131" spans="1:13" s="13" customFormat="1" ht="12.75">
      <c r="A131" s="307"/>
      <c r="B131" s="307">
        <v>85415</v>
      </c>
      <c r="C131" s="308" t="s">
        <v>882</v>
      </c>
      <c r="D131" s="309"/>
      <c r="E131" s="546"/>
      <c r="F131" s="750">
        <f aca="true" t="shared" si="50" ref="F131:K131">SUM(F130:F130)</f>
        <v>81051</v>
      </c>
      <c r="G131" s="349">
        <f t="shared" si="50"/>
        <v>0</v>
      </c>
      <c r="H131" s="349">
        <f t="shared" si="50"/>
        <v>0</v>
      </c>
      <c r="I131" s="577">
        <f t="shared" si="50"/>
        <v>0</v>
      </c>
      <c r="J131" s="349">
        <f t="shared" si="50"/>
        <v>0</v>
      </c>
      <c r="K131" s="572">
        <f t="shared" si="50"/>
        <v>0</v>
      </c>
      <c r="L131" s="310">
        <f t="shared" si="39"/>
        <v>0</v>
      </c>
      <c r="M131" s="357"/>
    </row>
    <row r="132" spans="1:13" s="13" customFormat="1" ht="12.75">
      <c r="A132" s="291">
        <v>854</v>
      </c>
      <c r="B132" s="291"/>
      <c r="C132" s="292" t="s">
        <v>474</v>
      </c>
      <c r="D132" s="312"/>
      <c r="E132" s="539"/>
      <c r="F132" s="588">
        <f aca="true" t="shared" si="51" ref="F132:K132">F131</f>
        <v>81051</v>
      </c>
      <c r="G132" s="350">
        <f t="shared" si="51"/>
        <v>0</v>
      </c>
      <c r="H132" s="350">
        <f t="shared" si="51"/>
        <v>0</v>
      </c>
      <c r="I132" s="575">
        <f t="shared" si="51"/>
        <v>0</v>
      </c>
      <c r="J132" s="350">
        <f t="shared" si="51"/>
        <v>0</v>
      </c>
      <c r="K132" s="573">
        <f t="shared" si="51"/>
        <v>0</v>
      </c>
      <c r="L132" s="313">
        <f t="shared" si="39"/>
        <v>0</v>
      </c>
      <c r="M132" s="357"/>
    </row>
    <row r="133" spans="1:13" s="13" customFormat="1" ht="25.5">
      <c r="A133" s="264">
        <v>900</v>
      </c>
      <c r="B133" s="264">
        <v>90001</v>
      </c>
      <c r="C133" s="549" t="s">
        <v>121</v>
      </c>
      <c r="D133" s="534" t="s">
        <v>424</v>
      </c>
      <c r="E133" s="693" t="s">
        <v>122</v>
      </c>
      <c r="F133" s="570">
        <v>4150</v>
      </c>
      <c r="G133" s="348">
        <v>5000</v>
      </c>
      <c r="H133" s="585">
        <f aca="true" t="shared" si="52" ref="H133:H138">G133-J133</f>
        <v>5000</v>
      </c>
      <c r="I133" s="583">
        <v>0</v>
      </c>
      <c r="J133" s="571">
        <v>0</v>
      </c>
      <c r="K133" s="574">
        <v>0</v>
      </c>
      <c r="L133" s="306">
        <f t="shared" si="39"/>
        <v>1.2048192771084338</v>
      </c>
      <c r="M133" s="357" t="s">
        <v>285</v>
      </c>
    </row>
    <row r="134" spans="1:13" s="13" customFormat="1" ht="12.75" customHeight="1">
      <c r="A134" s="264"/>
      <c r="B134" s="264"/>
      <c r="C134" s="265"/>
      <c r="D134" s="534" t="s">
        <v>876</v>
      </c>
      <c r="E134" s="540" t="s">
        <v>783</v>
      </c>
      <c r="F134" s="754">
        <v>37000</v>
      </c>
      <c r="G134" s="355">
        <v>4600</v>
      </c>
      <c r="H134" s="585">
        <f t="shared" si="52"/>
        <v>4600</v>
      </c>
      <c r="I134" s="583">
        <v>0</v>
      </c>
      <c r="J134" s="571">
        <v>0</v>
      </c>
      <c r="K134" s="574">
        <v>0</v>
      </c>
      <c r="L134" s="306">
        <f t="shared" si="39"/>
        <v>0.12432432432432433</v>
      </c>
      <c r="M134" s="357" t="s">
        <v>785</v>
      </c>
    </row>
    <row r="135" spans="1:13" s="13" customFormat="1" ht="12.75" customHeight="1">
      <c r="A135" s="264"/>
      <c r="B135" s="264"/>
      <c r="C135" s="293"/>
      <c r="D135" s="534" t="s">
        <v>878</v>
      </c>
      <c r="E135" s="691" t="s">
        <v>879</v>
      </c>
      <c r="F135" s="570">
        <v>9650</v>
      </c>
      <c r="G135" s="348">
        <v>10000</v>
      </c>
      <c r="H135" s="585">
        <f t="shared" si="52"/>
        <v>10000</v>
      </c>
      <c r="I135" s="583">
        <v>0</v>
      </c>
      <c r="J135" s="571">
        <v>0</v>
      </c>
      <c r="K135" s="574">
        <v>0</v>
      </c>
      <c r="L135" s="306">
        <f t="shared" si="39"/>
        <v>1.0362694300518134</v>
      </c>
      <c r="M135" s="357" t="s">
        <v>252</v>
      </c>
    </row>
    <row r="136" spans="1:13" s="13" customFormat="1" ht="38.25">
      <c r="A136" s="264"/>
      <c r="B136" s="264"/>
      <c r="C136" s="293"/>
      <c r="D136" s="534" t="s">
        <v>880</v>
      </c>
      <c r="E136" s="540" t="s">
        <v>881</v>
      </c>
      <c r="F136" s="570">
        <v>65500</v>
      </c>
      <c r="G136" s="348">
        <v>0</v>
      </c>
      <c r="H136" s="571">
        <f t="shared" si="52"/>
        <v>0</v>
      </c>
      <c r="I136" s="583">
        <v>0</v>
      </c>
      <c r="J136" s="571">
        <v>0</v>
      </c>
      <c r="K136" s="574">
        <v>0</v>
      </c>
      <c r="L136" s="306">
        <f t="shared" si="39"/>
        <v>0</v>
      </c>
      <c r="M136" s="357" t="s">
        <v>780</v>
      </c>
    </row>
    <row r="137" spans="1:13" s="13" customFormat="1" ht="12.75" customHeight="1">
      <c r="A137" s="305"/>
      <c r="B137" s="264"/>
      <c r="C137" s="293"/>
      <c r="D137" s="644" t="s">
        <v>897</v>
      </c>
      <c r="E137" s="645" t="s">
        <v>50</v>
      </c>
      <c r="F137" s="570">
        <v>2100000</v>
      </c>
      <c r="G137" s="348">
        <v>61500</v>
      </c>
      <c r="H137" s="585">
        <f t="shared" si="52"/>
        <v>61500</v>
      </c>
      <c r="I137" s="583">
        <v>0</v>
      </c>
      <c r="J137" s="571">
        <v>0</v>
      </c>
      <c r="K137" s="574">
        <v>0</v>
      </c>
      <c r="L137" s="306">
        <f t="shared" si="39"/>
        <v>0.029285714285714286</v>
      </c>
      <c r="M137" s="357" t="s">
        <v>516</v>
      </c>
    </row>
    <row r="138" spans="1:13" s="13" customFormat="1" ht="66" customHeight="1">
      <c r="A138" s="305"/>
      <c r="B138" s="264"/>
      <c r="C138" s="293"/>
      <c r="D138" s="644" t="s">
        <v>615</v>
      </c>
      <c r="E138" s="645" t="s">
        <v>616</v>
      </c>
      <c r="F138" s="570">
        <v>0</v>
      </c>
      <c r="G138" s="348">
        <v>8118592</v>
      </c>
      <c r="H138" s="585">
        <f t="shared" si="52"/>
        <v>0</v>
      </c>
      <c r="I138" s="583">
        <v>0</v>
      </c>
      <c r="J138" s="571">
        <f>G138</f>
        <v>8118592</v>
      </c>
      <c r="K138" s="574">
        <f>G138</f>
        <v>8118592</v>
      </c>
      <c r="L138" s="306"/>
      <c r="M138" s="357" t="s">
        <v>713</v>
      </c>
    </row>
    <row r="139" spans="1:13" s="13" customFormat="1" ht="12.75">
      <c r="A139" s="307"/>
      <c r="B139" s="307">
        <v>90001</v>
      </c>
      <c r="C139" s="308" t="s">
        <v>882</v>
      </c>
      <c r="D139" s="309"/>
      <c r="E139" s="538"/>
      <c r="F139" s="750">
        <f aca="true" t="shared" si="53" ref="F139:K139">SUM(F133:F138)</f>
        <v>2216300</v>
      </c>
      <c r="G139" s="349">
        <f t="shared" si="53"/>
        <v>8199692</v>
      </c>
      <c r="H139" s="349">
        <f t="shared" si="53"/>
        <v>81100</v>
      </c>
      <c r="I139" s="577">
        <f t="shared" si="53"/>
        <v>0</v>
      </c>
      <c r="J139" s="349">
        <f t="shared" si="53"/>
        <v>8118592</v>
      </c>
      <c r="K139" s="572">
        <f t="shared" si="53"/>
        <v>8118592</v>
      </c>
      <c r="L139" s="310">
        <f aca="true" t="shared" si="54" ref="L139:L146">G139/F139</f>
        <v>3.6997211568830934</v>
      </c>
      <c r="M139" s="357"/>
    </row>
    <row r="140" spans="1:13" s="13" customFormat="1" ht="52.5" customHeight="1">
      <c r="A140" s="264">
        <v>900</v>
      </c>
      <c r="B140" s="264">
        <v>90002</v>
      </c>
      <c r="C140" s="293" t="s">
        <v>680</v>
      </c>
      <c r="D140" s="314" t="s">
        <v>681</v>
      </c>
      <c r="E140" s="547" t="s">
        <v>611</v>
      </c>
      <c r="F140" s="570">
        <v>40927</v>
      </c>
      <c r="G140" s="348">
        <v>0</v>
      </c>
      <c r="H140" s="585">
        <f>G140-J140</f>
        <v>0</v>
      </c>
      <c r="I140" s="583">
        <v>0</v>
      </c>
      <c r="J140" s="571">
        <v>0</v>
      </c>
      <c r="K140" s="574">
        <v>0</v>
      </c>
      <c r="L140" s="306">
        <f t="shared" si="54"/>
        <v>0</v>
      </c>
      <c r="M140" s="357" t="s">
        <v>517</v>
      </c>
    </row>
    <row r="141" spans="1:13" s="13" customFormat="1" ht="76.5">
      <c r="A141" s="264"/>
      <c r="B141" s="264"/>
      <c r="C141" s="293"/>
      <c r="D141" s="316" t="s">
        <v>55</v>
      </c>
      <c r="E141" s="547" t="s">
        <v>56</v>
      </c>
      <c r="F141" s="570">
        <v>10000</v>
      </c>
      <c r="G141" s="348">
        <v>0</v>
      </c>
      <c r="H141" s="585">
        <f>G141-J141</f>
        <v>0</v>
      </c>
      <c r="I141" s="583">
        <v>0</v>
      </c>
      <c r="J141" s="571">
        <v>0</v>
      </c>
      <c r="K141" s="574">
        <v>0</v>
      </c>
      <c r="L141" s="306">
        <f t="shared" si="54"/>
        <v>0</v>
      </c>
      <c r="M141" s="357"/>
    </row>
    <row r="142" spans="1:13" s="13" customFormat="1" ht="12.75">
      <c r="A142" s="307"/>
      <c r="B142" s="307">
        <v>90002</v>
      </c>
      <c r="C142" s="308" t="s">
        <v>882</v>
      </c>
      <c r="D142" s="309"/>
      <c r="E142" s="538" t="s">
        <v>682</v>
      </c>
      <c r="F142" s="750">
        <f aca="true" t="shared" si="55" ref="F142:K142">SUM(F140:F141)</f>
        <v>50927</v>
      </c>
      <c r="G142" s="349">
        <f t="shared" si="55"/>
        <v>0</v>
      </c>
      <c r="H142" s="349">
        <f t="shared" si="55"/>
        <v>0</v>
      </c>
      <c r="I142" s="577">
        <f t="shared" si="55"/>
        <v>0</v>
      </c>
      <c r="J142" s="349">
        <f t="shared" si="55"/>
        <v>0</v>
      </c>
      <c r="K142" s="582">
        <f t="shared" si="55"/>
        <v>0</v>
      </c>
      <c r="L142" s="310">
        <f t="shared" si="54"/>
        <v>0</v>
      </c>
      <c r="M142" s="357"/>
    </row>
    <row r="143" spans="1:13" s="13" customFormat="1" ht="76.5">
      <c r="A143" s="264">
        <v>900</v>
      </c>
      <c r="B143" s="264">
        <v>90003</v>
      </c>
      <c r="C143" s="315" t="s">
        <v>635</v>
      </c>
      <c r="D143" s="316" t="s">
        <v>55</v>
      </c>
      <c r="E143" s="547" t="s">
        <v>56</v>
      </c>
      <c r="F143" s="570">
        <v>5000</v>
      </c>
      <c r="G143" s="348">
        <v>0</v>
      </c>
      <c r="H143" s="585">
        <f>G143-J143</f>
        <v>0</v>
      </c>
      <c r="I143" s="583">
        <v>0</v>
      </c>
      <c r="J143" s="571">
        <v>0</v>
      </c>
      <c r="K143" s="574">
        <v>0</v>
      </c>
      <c r="L143" s="306">
        <f t="shared" si="54"/>
        <v>0</v>
      </c>
      <c r="M143" s="357"/>
    </row>
    <row r="144" spans="1:13" s="13" customFormat="1" ht="12.75">
      <c r="A144" s="307"/>
      <c r="B144" s="307">
        <v>90003</v>
      </c>
      <c r="C144" s="308" t="s">
        <v>882</v>
      </c>
      <c r="D144" s="309"/>
      <c r="E144" s="538" t="s">
        <v>682</v>
      </c>
      <c r="F144" s="750">
        <f aca="true" t="shared" si="56" ref="F144:K144">F143</f>
        <v>5000</v>
      </c>
      <c r="G144" s="349">
        <f t="shared" si="56"/>
        <v>0</v>
      </c>
      <c r="H144" s="349">
        <f t="shared" si="56"/>
        <v>0</v>
      </c>
      <c r="I144" s="577">
        <f t="shared" si="56"/>
        <v>0</v>
      </c>
      <c r="J144" s="349">
        <f t="shared" si="56"/>
        <v>0</v>
      </c>
      <c r="K144" s="572">
        <f t="shared" si="56"/>
        <v>0</v>
      </c>
      <c r="L144" s="310">
        <f t="shared" si="54"/>
        <v>0</v>
      </c>
      <c r="M144" s="357"/>
    </row>
    <row r="145" spans="1:13" s="13" customFormat="1" ht="25.5">
      <c r="A145" s="264">
        <v>900</v>
      </c>
      <c r="B145" s="264">
        <v>90015</v>
      </c>
      <c r="C145" s="315" t="s">
        <v>637</v>
      </c>
      <c r="D145" s="316" t="s">
        <v>424</v>
      </c>
      <c r="E145" s="547" t="s">
        <v>875</v>
      </c>
      <c r="F145" s="570">
        <v>10450</v>
      </c>
      <c r="G145" s="348">
        <v>0</v>
      </c>
      <c r="H145" s="585">
        <f>G145-J145</f>
        <v>0</v>
      </c>
      <c r="I145" s="583">
        <v>0</v>
      </c>
      <c r="J145" s="571">
        <v>0</v>
      </c>
      <c r="K145" s="574">
        <v>0</v>
      </c>
      <c r="L145" s="306">
        <f t="shared" si="54"/>
        <v>0</v>
      </c>
      <c r="M145" s="357"/>
    </row>
    <row r="146" spans="1:13" s="13" customFormat="1" ht="12.75">
      <c r="A146" s="307"/>
      <c r="B146" s="307">
        <v>90015</v>
      </c>
      <c r="C146" s="308" t="s">
        <v>882</v>
      </c>
      <c r="D146" s="309"/>
      <c r="E146" s="538" t="s">
        <v>682</v>
      </c>
      <c r="F146" s="750">
        <f aca="true" t="shared" si="57" ref="F146:K146">F145</f>
        <v>10450</v>
      </c>
      <c r="G146" s="349">
        <f t="shared" si="57"/>
        <v>0</v>
      </c>
      <c r="H146" s="349">
        <f t="shared" si="57"/>
        <v>0</v>
      </c>
      <c r="I146" s="577">
        <f t="shared" si="57"/>
        <v>0</v>
      </c>
      <c r="J146" s="349">
        <f t="shared" si="57"/>
        <v>0</v>
      </c>
      <c r="K146" s="572">
        <f t="shared" si="57"/>
        <v>0</v>
      </c>
      <c r="L146" s="310">
        <f t="shared" si="54"/>
        <v>0</v>
      </c>
      <c r="M146" s="357"/>
    </row>
    <row r="147" spans="1:13" s="13" customFormat="1" ht="51">
      <c r="A147" s="264">
        <v>900</v>
      </c>
      <c r="B147" s="264">
        <v>90019</v>
      </c>
      <c r="C147" s="315" t="s">
        <v>797</v>
      </c>
      <c r="D147" s="316" t="s">
        <v>266</v>
      </c>
      <c r="E147" s="547" t="s">
        <v>273</v>
      </c>
      <c r="F147" s="570">
        <v>0</v>
      </c>
      <c r="G147" s="348">
        <v>6000</v>
      </c>
      <c r="H147" s="585">
        <f>G147</f>
        <v>6000</v>
      </c>
      <c r="I147" s="583"/>
      <c r="J147" s="571">
        <v>0</v>
      </c>
      <c r="K147" s="583">
        <v>0</v>
      </c>
      <c r="L147" s="306"/>
      <c r="M147" s="357"/>
    </row>
    <row r="148" spans="1:13" s="13" customFormat="1" ht="39" customHeight="1">
      <c r="A148" s="264"/>
      <c r="B148" s="264"/>
      <c r="C148" s="315"/>
      <c r="D148" s="316" t="s">
        <v>267</v>
      </c>
      <c r="E148" s="547" t="s">
        <v>268</v>
      </c>
      <c r="F148" s="570">
        <v>0</v>
      </c>
      <c r="G148" s="348">
        <v>0</v>
      </c>
      <c r="H148" s="585">
        <f>G148</f>
        <v>0</v>
      </c>
      <c r="I148" s="583"/>
      <c r="J148" s="571">
        <v>0</v>
      </c>
      <c r="K148" s="583">
        <v>0</v>
      </c>
      <c r="L148" s="306"/>
      <c r="M148" s="357"/>
    </row>
    <row r="149" spans="1:13" s="13" customFormat="1" ht="12.75" customHeight="1">
      <c r="A149" s="264"/>
      <c r="B149" s="264"/>
      <c r="C149" s="315"/>
      <c r="D149" s="316" t="s">
        <v>424</v>
      </c>
      <c r="E149" s="547" t="s">
        <v>875</v>
      </c>
      <c r="F149" s="570">
        <v>0</v>
      </c>
      <c r="G149" s="348">
        <v>24000</v>
      </c>
      <c r="H149" s="585">
        <f>G149</f>
        <v>24000</v>
      </c>
      <c r="I149" s="583"/>
      <c r="J149" s="571">
        <v>0</v>
      </c>
      <c r="K149" s="583">
        <v>0</v>
      </c>
      <c r="L149" s="306"/>
      <c r="M149" s="357"/>
    </row>
    <row r="150" spans="1:13" s="13" customFormat="1" ht="12.75">
      <c r="A150" s="307"/>
      <c r="B150" s="307">
        <v>90019</v>
      </c>
      <c r="C150" s="308" t="s">
        <v>882</v>
      </c>
      <c r="D150" s="309"/>
      <c r="E150" s="538" t="s">
        <v>682</v>
      </c>
      <c r="F150" s="750">
        <f aca="true" t="shared" si="58" ref="F150:K150">SUM(F147:F149)</f>
        <v>0</v>
      </c>
      <c r="G150" s="349">
        <f t="shared" si="58"/>
        <v>30000</v>
      </c>
      <c r="H150" s="349">
        <f t="shared" si="58"/>
        <v>30000</v>
      </c>
      <c r="I150" s="577">
        <f t="shared" si="58"/>
        <v>0</v>
      </c>
      <c r="J150" s="349">
        <f t="shared" si="58"/>
        <v>0</v>
      </c>
      <c r="K150" s="577">
        <f t="shared" si="58"/>
        <v>0</v>
      </c>
      <c r="L150" s="310"/>
      <c r="M150" s="398" t="s">
        <v>709</v>
      </c>
    </row>
    <row r="151" spans="1:13" s="13" customFormat="1" ht="26.25" customHeight="1">
      <c r="A151" s="264">
        <v>900</v>
      </c>
      <c r="B151" s="264">
        <v>90095</v>
      </c>
      <c r="C151" s="315" t="s">
        <v>51</v>
      </c>
      <c r="D151" s="316" t="s">
        <v>266</v>
      </c>
      <c r="E151" s="547" t="s">
        <v>273</v>
      </c>
      <c r="F151" s="570">
        <v>57809</v>
      </c>
      <c r="G151" s="351">
        <v>0</v>
      </c>
      <c r="H151" s="585">
        <f>G151</f>
        <v>0</v>
      </c>
      <c r="I151" s="583">
        <v>0</v>
      </c>
      <c r="J151" s="571">
        <v>0</v>
      </c>
      <c r="K151" s="574">
        <v>0</v>
      </c>
      <c r="L151" s="306">
        <f aca="true" t="shared" si="59" ref="L151:L167">G151/F151</f>
        <v>0</v>
      </c>
      <c r="M151" s="510" t="s">
        <v>246</v>
      </c>
    </row>
    <row r="152" spans="1:13" s="13" customFormat="1" ht="40.5" customHeight="1">
      <c r="A152" s="264"/>
      <c r="B152" s="264"/>
      <c r="C152" s="315"/>
      <c r="D152" s="316" t="s">
        <v>267</v>
      </c>
      <c r="E152" s="547" t="s">
        <v>268</v>
      </c>
      <c r="F152" s="570">
        <v>6000</v>
      </c>
      <c r="G152" s="351">
        <v>0</v>
      </c>
      <c r="H152" s="585">
        <f>G152</f>
        <v>0</v>
      </c>
      <c r="I152" s="583">
        <v>0</v>
      </c>
      <c r="J152" s="571">
        <v>0</v>
      </c>
      <c r="K152" s="574">
        <v>0</v>
      </c>
      <c r="L152" s="306">
        <f t="shared" si="59"/>
        <v>0</v>
      </c>
      <c r="M152" s="357"/>
    </row>
    <row r="153" spans="1:13" s="13" customFormat="1" ht="12.75" customHeight="1">
      <c r="A153" s="264"/>
      <c r="B153" s="264"/>
      <c r="C153" s="315"/>
      <c r="D153" s="316" t="s">
        <v>424</v>
      </c>
      <c r="E153" s="547" t="s">
        <v>875</v>
      </c>
      <c r="F153" s="570">
        <v>33000</v>
      </c>
      <c r="G153" s="351">
        <v>0</v>
      </c>
      <c r="H153" s="585">
        <f>G153</f>
        <v>0</v>
      </c>
      <c r="I153" s="583">
        <v>0</v>
      </c>
      <c r="J153" s="571">
        <v>0</v>
      </c>
      <c r="K153" s="574">
        <v>0</v>
      </c>
      <c r="L153" s="306">
        <f t="shared" si="59"/>
        <v>0</v>
      </c>
      <c r="M153" s="357" t="s">
        <v>245</v>
      </c>
    </row>
    <row r="154" spans="1:13" s="13" customFormat="1" ht="12.75" customHeight="1">
      <c r="A154" s="264"/>
      <c r="B154" s="264"/>
      <c r="C154" s="315"/>
      <c r="D154" s="316" t="s">
        <v>878</v>
      </c>
      <c r="E154" s="547" t="s">
        <v>879</v>
      </c>
      <c r="F154" s="570">
        <v>1580</v>
      </c>
      <c r="G154" s="584">
        <v>0</v>
      </c>
      <c r="H154" s="585">
        <f>G154</f>
        <v>0</v>
      </c>
      <c r="I154" s="583">
        <v>0</v>
      </c>
      <c r="J154" s="571">
        <v>0</v>
      </c>
      <c r="K154" s="574">
        <v>0</v>
      </c>
      <c r="L154" s="306">
        <f t="shared" si="59"/>
        <v>0</v>
      </c>
      <c r="M154" s="357"/>
    </row>
    <row r="155" spans="1:13" s="13" customFormat="1" ht="12.75" customHeight="1">
      <c r="A155" s="264"/>
      <c r="B155" s="264"/>
      <c r="C155" s="315"/>
      <c r="D155" s="316" t="s">
        <v>897</v>
      </c>
      <c r="E155" s="547" t="s">
        <v>269</v>
      </c>
      <c r="F155" s="570">
        <v>48542</v>
      </c>
      <c r="G155" s="348">
        <v>0</v>
      </c>
      <c r="H155" s="585">
        <f>G155</f>
        <v>0</v>
      </c>
      <c r="I155" s="583">
        <v>0</v>
      </c>
      <c r="J155" s="571">
        <v>0</v>
      </c>
      <c r="K155" s="574">
        <v>0</v>
      </c>
      <c r="L155" s="306">
        <f t="shared" si="59"/>
        <v>0</v>
      </c>
      <c r="M155" s="357" t="s">
        <v>253</v>
      </c>
    </row>
    <row r="156" spans="1:13" s="13" customFormat="1" ht="12.75" customHeight="1">
      <c r="A156" s="307"/>
      <c r="B156" s="307">
        <v>90095</v>
      </c>
      <c r="C156" s="308" t="s">
        <v>882</v>
      </c>
      <c r="D156" s="309"/>
      <c r="E156" s="538" t="s">
        <v>682</v>
      </c>
      <c r="F156" s="750">
        <f aca="true" t="shared" si="60" ref="F156:K156">SUM(F151:F155)</f>
        <v>146931</v>
      </c>
      <c r="G156" s="349">
        <f t="shared" si="60"/>
        <v>0</v>
      </c>
      <c r="H156" s="349">
        <f t="shared" si="60"/>
        <v>0</v>
      </c>
      <c r="I156" s="577">
        <f t="shared" si="60"/>
        <v>0</v>
      </c>
      <c r="J156" s="349">
        <f t="shared" si="60"/>
        <v>0</v>
      </c>
      <c r="K156" s="582">
        <f t="shared" si="60"/>
        <v>0</v>
      </c>
      <c r="L156" s="310">
        <f t="shared" si="59"/>
        <v>0</v>
      </c>
      <c r="M156" s="398" t="s">
        <v>709</v>
      </c>
    </row>
    <row r="157" spans="1:13" s="13" customFormat="1" ht="12.75">
      <c r="A157" s="291">
        <v>900</v>
      </c>
      <c r="B157" s="291"/>
      <c r="C157" s="292" t="s">
        <v>883</v>
      </c>
      <c r="D157" s="312"/>
      <c r="E157" s="539"/>
      <c r="F157" s="588">
        <f aca="true" t="shared" si="61" ref="F157:K157">F139+F142+F144+F146+F150+F156</f>
        <v>2429608</v>
      </c>
      <c r="G157" s="350">
        <f t="shared" si="61"/>
        <v>8229692</v>
      </c>
      <c r="H157" s="350">
        <f t="shared" si="61"/>
        <v>111100</v>
      </c>
      <c r="I157" s="575">
        <f t="shared" si="61"/>
        <v>0</v>
      </c>
      <c r="J157" s="350">
        <f t="shared" si="61"/>
        <v>8118592</v>
      </c>
      <c r="K157" s="350">
        <f t="shared" si="61"/>
        <v>8118592</v>
      </c>
      <c r="L157" s="313">
        <f t="shared" si="59"/>
        <v>3.387250947477947</v>
      </c>
      <c r="M157" s="357"/>
    </row>
    <row r="158" spans="1:13" s="13" customFormat="1" ht="12.75" customHeight="1">
      <c r="A158" s="264">
        <v>921</v>
      </c>
      <c r="B158" s="264">
        <v>92195</v>
      </c>
      <c r="C158" s="315" t="s">
        <v>51</v>
      </c>
      <c r="D158" s="316" t="s">
        <v>897</v>
      </c>
      <c r="E158" s="547" t="s">
        <v>269</v>
      </c>
      <c r="F158" s="570">
        <v>18000</v>
      </c>
      <c r="G158" s="348">
        <v>0</v>
      </c>
      <c r="H158" s="585">
        <f>G158-J158</f>
        <v>0</v>
      </c>
      <c r="I158" s="583">
        <v>0</v>
      </c>
      <c r="J158" s="571">
        <v>0</v>
      </c>
      <c r="K158" s="574">
        <v>0</v>
      </c>
      <c r="L158" s="306">
        <f t="shared" si="59"/>
        <v>0</v>
      </c>
      <c r="M158" s="357" t="s">
        <v>254</v>
      </c>
    </row>
    <row r="159" spans="1:13" s="13" customFormat="1" ht="12.75">
      <c r="A159" s="307"/>
      <c r="B159" s="307">
        <v>92195</v>
      </c>
      <c r="C159" s="308" t="s">
        <v>882</v>
      </c>
      <c r="D159" s="309"/>
      <c r="E159" s="546"/>
      <c r="F159" s="750">
        <f aca="true" t="shared" si="62" ref="F159:K159">SUM(F158:F158)</f>
        <v>18000</v>
      </c>
      <c r="G159" s="349">
        <f t="shared" si="62"/>
        <v>0</v>
      </c>
      <c r="H159" s="349">
        <f t="shared" si="62"/>
        <v>0</v>
      </c>
      <c r="I159" s="577">
        <f t="shared" si="62"/>
        <v>0</v>
      </c>
      <c r="J159" s="349">
        <f t="shared" si="62"/>
        <v>0</v>
      </c>
      <c r="K159" s="572">
        <f t="shared" si="62"/>
        <v>0</v>
      </c>
      <c r="L159" s="310">
        <f t="shared" si="59"/>
        <v>0</v>
      </c>
      <c r="M159" s="357"/>
    </row>
    <row r="160" spans="1:13" s="13" customFormat="1" ht="12.75">
      <c r="A160" s="291">
        <v>921</v>
      </c>
      <c r="B160" s="291"/>
      <c r="C160" s="292" t="s">
        <v>474</v>
      </c>
      <c r="D160" s="312"/>
      <c r="E160" s="539"/>
      <c r="F160" s="588">
        <f aca="true" t="shared" si="63" ref="F160:K160">F159</f>
        <v>18000</v>
      </c>
      <c r="G160" s="350">
        <f t="shared" si="63"/>
        <v>0</v>
      </c>
      <c r="H160" s="350">
        <f t="shared" si="63"/>
        <v>0</v>
      </c>
      <c r="I160" s="575">
        <f t="shared" si="63"/>
        <v>0</v>
      </c>
      <c r="J160" s="350">
        <f t="shared" si="63"/>
        <v>0</v>
      </c>
      <c r="K160" s="573">
        <f t="shared" si="63"/>
        <v>0</v>
      </c>
      <c r="L160" s="313">
        <f t="shared" si="59"/>
        <v>0</v>
      </c>
      <c r="M160" s="357"/>
    </row>
    <row r="161" spans="1:13" s="13" customFormat="1" ht="78.75" customHeight="1">
      <c r="A161" s="264">
        <v>926</v>
      </c>
      <c r="B161" s="264">
        <v>92601</v>
      </c>
      <c r="C161" s="315" t="s">
        <v>640</v>
      </c>
      <c r="D161" s="316" t="s">
        <v>210</v>
      </c>
      <c r="E161" s="522" t="s">
        <v>212</v>
      </c>
      <c r="F161" s="570">
        <v>1000000</v>
      </c>
      <c r="G161" s="348">
        <v>0</v>
      </c>
      <c r="H161" s="585">
        <f>G161-J161</f>
        <v>0</v>
      </c>
      <c r="I161" s="583">
        <v>0</v>
      </c>
      <c r="J161" s="571">
        <f>G161</f>
        <v>0</v>
      </c>
      <c r="K161" s="574">
        <v>0</v>
      </c>
      <c r="L161" s="306">
        <f t="shared" si="59"/>
        <v>0</v>
      </c>
      <c r="M161" s="357"/>
    </row>
    <row r="162" spans="1:13" s="13" customFormat="1" ht="12.75">
      <c r="A162" s="307"/>
      <c r="B162" s="307">
        <v>92601</v>
      </c>
      <c r="C162" s="308" t="s">
        <v>882</v>
      </c>
      <c r="D162" s="309"/>
      <c r="E162" s="546"/>
      <c r="F162" s="750">
        <f aca="true" t="shared" si="64" ref="F162:K162">SUM(F161:F161)</f>
        <v>1000000</v>
      </c>
      <c r="G162" s="349">
        <f t="shared" si="64"/>
        <v>0</v>
      </c>
      <c r="H162" s="349">
        <f t="shared" si="64"/>
        <v>0</v>
      </c>
      <c r="I162" s="577">
        <f t="shared" si="64"/>
        <v>0</v>
      </c>
      <c r="J162" s="349">
        <f t="shared" si="64"/>
        <v>0</v>
      </c>
      <c r="K162" s="572">
        <f t="shared" si="64"/>
        <v>0</v>
      </c>
      <c r="L162" s="310">
        <f t="shared" si="59"/>
        <v>0</v>
      </c>
      <c r="M162" s="357"/>
    </row>
    <row r="163" spans="1:13" s="13" customFormat="1" ht="114.75">
      <c r="A163" s="264">
        <v>926</v>
      </c>
      <c r="B163" s="264">
        <v>92605</v>
      </c>
      <c r="C163" s="315" t="s">
        <v>515</v>
      </c>
      <c r="D163" s="316" t="s">
        <v>213</v>
      </c>
      <c r="E163" s="548" t="s">
        <v>730</v>
      </c>
      <c r="F163" s="570">
        <v>18921</v>
      </c>
      <c r="G163" s="348">
        <v>37408.5</v>
      </c>
      <c r="H163" s="585">
        <f>G163-J163</f>
        <v>37408.5</v>
      </c>
      <c r="I163" s="583">
        <f>G163</f>
        <v>37408.5</v>
      </c>
      <c r="J163" s="571">
        <v>0</v>
      </c>
      <c r="K163" s="574">
        <v>0</v>
      </c>
      <c r="L163" s="306">
        <f t="shared" si="59"/>
        <v>1.977088948787062</v>
      </c>
      <c r="M163" s="398" t="s">
        <v>564</v>
      </c>
    </row>
    <row r="164" spans="1:13" s="13" customFormat="1" ht="114.75">
      <c r="A164" s="264"/>
      <c r="B164" s="264"/>
      <c r="C164" s="293"/>
      <c r="D164" s="316" t="s">
        <v>360</v>
      </c>
      <c r="E164" s="548" t="s">
        <v>730</v>
      </c>
      <c r="F164" s="570">
        <v>3339</v>
      </c>
      <c r="G164" s="348">
        <v>6601.5</v>
      </c>
      <c r="H164" s="585">
        <f>G164-J164</f>
        <v>6601.5</v>
      </c>
      <c r="I164" s="583">
        <f>G164</f>
        <v>6601.5</v>
      </c>
      <c r="J164" s="571">
        <v>0</v>
      </c>
      <c r="K164" s="574">
        <v>0</v>
      </c>
      <c r="L164" s="306">
        <f t="shared" si="59"/>
        <v>1.977088948787062</v>
      </c>
      <c r="M164" s="398" t="s">
        <v>564</v>
      </c>
    </row>
    <row r="165" spans="1:13" s="13" customFormat="1" ht="12.75">
      <c r="A165" s="307"/>
      <c r="B165" s="307">
        <v>92605</v>
      </c>
      <c r="C165" s="308" t="s">
        <v>882</v>
      </c>
      <c r="D165" s="309"/>
      <c r="E165" s="546"/>
      <c r="F165" s="750">
        <f aca="true" t="shared" si="65" ref="F165:K165">SUM(F163:F164)</f>
        <v>22260</v>
      </c>
      <c r="G165" s="349">
        <f t="shared" si="65"/>
        <v>44010</v>
      </c>
      <c r="H165" s="349">
        <f t="shared" si="65"/>
        <v>44010</v>
      </c>
      <c r="I165" s="577">
        <f t="shared" si="65"/>
        <v>44010</v>
      </c>
      <c r="J165" s="349">
        <f t="shared" si="65"/>
        <v>0</v>
      </c>
      <c r="K165" s="581">
        <f t="shared" si="65"/>
        <v>0</v>
      </c>
      <c r="L165" s="400">
        <f t="shared" si="59"/>
        <v>1.977088948787062</v>
      </c>
      <c r="M165" s="357"/>
    </row>
    <row r="166" spans="1:13" s="13" customFormat="1" ht="12.75">
      <c r="A166" s="291">
        <v>926</v>
      </c>
      <c r="B166" s="291"/>
      <c r="C166" s="292" t="s">
        <v>474</v>
      </c>
      <c r="D166" s="312"/>
      <c r="E166" s="539"/>
      <c r="F166" s="588">
        <f aca="true" t="shared" si="66" ref="F166:K166">F162+F165</f>
        <v>1022260</v>
      </c>
      <c r="G166" s="350">
        <f t="shared" si="66"/>
        <v>44010</v>
      </c>
      <c r="H166" s="350">
        <f t="shared" si="66"/>
        <v>44010</v>
      </c>
      <c r="I166" s="575">
        <f t="shared" si="66"/>
        <v>44010</v>
      </c>
      <c r="J166" s="350">
        <f t="shared" si="66"/>
        <v>0</v>
      </c>
      <c r="K166" s="576">
        <f t="shared" si="66"/>
        <v>0</v>
      </c>
      <c r="L166" s="399">
        <f t="shared" si="59"/>
        <v>0.043051669829593256</v>
      </c>
      <c r="M166" s="357"/>
    </row>
    <row r="167" spans="1:13" s="13" customFormat="1" ht="13.5" thickBot="1">
      <c r="A167" s="1299" t="s">
        <v>683</v>
      </c>
      <c r="B167" s="1299"/>
      <c r="C167" s="1299"/>
      <c r="D167" s="1299"/>
      <c r="E167" s="1300"/>
      <c r="F167" s="755">
        <f aca="true" t="shared" si="67" ref="F167:K167">F14+F24+F35+F42+F45+F50+F82+F85+F104+F125+F129+F132+F157+F160+F166</f>
        <v>54773025</v>
      </c>
      <c r="G167" s="356">
        <f t="shared" si="67"/>
        <v>57866324</v>
      </c>
      <c r="H167" s="356">
        <f t="shared" si="67"/>
        <v>43547732</v>
      </c>
      <c r="I167" s="742">
        <f t="shared" si="67"/>
        <v>44010</v>
      </c>
      <c r="J167" s="356">
        <f t="shared" si="67"/>
        <v>14318592</v>
      </c>
      <c r="K167" s="741">
        <f t="shared" si="67"/>
        <v>8118592</v>
      </c>
      <c r="L167" s="740">
        <f t="shared" si="59"/>
        <v>1.0564748614851927</v>
      </c>
      <c r="M167" s="357"/>
    </row>
    <row r="168" spans="1:13" s="13" customFormat="1" ht="12.75">
      <c r="A168" s="18"/>
      <c r="B168" s="18"/>
      <c r="C168" s="18"/>
      <c r="D168" s="18"/>
      <c r="E168" s="18"/>
      <c r="F168" s="587"/>
      <c r="G168" s="19"/>
      <c r="H168" s="19"/>
      <c r="I168" s="19"/>
      <c r="J168" s="19"/>
      <c r="K168" s="19"/>
      <c r="L168" s="21"/>
      <c r="M168" s="357"/>
    </row>
    <row r="169" spans="1:13" s="13" customFormat="1" ht="13.5" thickBot="1">
      <c r="A169" s="1278" t="s">
        <v>684</v>
      </c>
      <c r="B169" s="1278"/>
      <c r="C169" s="1278"/>
      <c r="D169" s="1278"/>
      <c r="E169" s="1278"/>
      <c r="F169" s="1278"/>
      <c r="G169" s="1278"/>
      <c r="H169" s="1278"/>
      <c r="I169" s="1278"/>
      <c r="J169" s="1278"/>
      <c r="K169" s="1278"/>
      <c r="L169" s="1278"/>
      <c r="M169" s="357"/>
    </row>
    <row r="170" spans="1:13" s="13" customFormat="1" ht="13.5" customHeight="1" thickBot="1">
      <c r="A170" s="1194" t="s">
        <v>414</v>
      </c>
      <c r="B170" s="1194" t="s">
        <v>685</v>
      </c>
      <c r="C170" s="1194"/>
      <c r="D170" s="1194"/>
      <c r="E170" s="1194"/>
      <c r="F170" s="1279" t="s">
        <v>479</v>
      </c>
      <c r="G170" s="1301" t="s">
        <v>562</v>
      </c>
      <c r="H170" s="1314" t="s">
        <v>420</v>
      </c>
      <c r="I170" s="1315"/>
      <c r="J170" s="1316"/>
      <c r="K170" s="1315"/>
      <c r="L170" s="1321" t="s">
        <v>124</v>
      </c>
      <c r="M170" s="357"/>
    </row>
    <row r="171" spans="1:13" s="13" customFormat="1" ht="12.75">
      <c r="A171" s="1194"/>
      <c r="B171" s="1194"/>
      <c r="C171" s="1194"/>
      <c r="D171" s="1194"/>
      <c r="E171" s="1194"/>
      <c r="F171" s="1279"/>
      <c r="G171" s="1302"/>
      <c r="H171" s="1312" t="s">
        <v>421</v>
      </c>
      <c r="I171" s="536" t="s">
        <v>420</v>
      </c>
      <c r="J171" s="1312" t="s">
        <v>422</v>
      </c>
      <c r="K171" s="339" t="s">
        <v>420</v>
      </c>
      <c r="L171" s="1322"/>
      <c r="M171" s="357"/>
    </row>
    <row r="172" spans="1:13" s="13" customFormat="1" ht="84.75" customHeight="1">
      <c r="A172" s="1194"/>
      <c r="B172" s="1194"/>
      <c r="C172" s="1194"/>
      <c r="D172" s="1194"/>
      <c r="E172" s="1194"/>
      <c r="F172" s="1279"/>
      <c r="G172" s="1302"/>
      <c r="H172" s="1313"/>
      <c r="I172" s="537" t="s">
        <v>566</v>
      </c>
      <c r="J172" s="1313"/>
      <c r="K172" s="535" t="s">
        <v>567</v>
      </c>
      <c r="L172" s="1323"/>
      <c r="M172" s="357"/>
    </row>
    <row r="173" spans="1:13" s="13" customFormat="1" ht="12.75">
      <c r="A173" s="328">
        <v>400</v>
      </c>
      <c r="B173" s="1272" t="s">
        <v>131</v>
      </c>
      <c r="C173" s="1272"/>
      <c r="D173" s="1272"/>
      <c r="E173" s="1272"/>
      <c r="F173" s="570">
        <f aca="true" t="shared" si="68" ref="F173:K173">F14</f>
        <v>300000</v>
      </c>
      <c r="G173" s="352">
        <f t="shared" si="68"/>
        <v>150000</v>
      </c>
      <c r="H173" s="591">
        <f t="shared" si="68"/>
        <v>0</v>
      </c>
      <c r="I173" s="592">
        <f t="shared" si="68"/>
        <v>0</v>
      </c>
      <c r="J173" s="591">
        <f t="shared" si="68"/>
        <v>150000</v>
      </c>
      <c r="K173" s="593">
        <f t="shared" si="68"/>
        <v>0</v>
      </c>
      <c r="L173" s="306">
        <f aca="true" t="shared" si="69" ref="L173:L187">G173/G$188</f>
        <v>0.002592181248630896</v>
      </c>
      <c r="M173" s="357"/>
    </row>
    <row r="174" spans="1:13" s="13" customFormat="1" ht="12.75">
      <c r="A174" s="328">
        <v>700</v>
      </c>
      <c r="B174" s="1272" t="s">
        <v>132</v>
      </c>
      <c r="C174" s="1272"/>
      <c r="D174" s="1272"/>
      <c r="E174" s="1272"/>
      <c r="F174" s="570">
        <f aca="true" t="shared" si="70" ref="F174:K174">F24</f>
        <v>9880148</v>
      </c>
      <c r="G174" s="352">
        <f t="shared" si="70"/>
        <v>6880400</v>
      </c>
      <c r="H174" s="586">
        <f t="shared" si="70"/>
        <v>830400</v>
      </c>
      <c r="I174" s="594">
        <f t="shared" si="70"/>
        <v>0</v>
      </c>
      <c r="J174" s="586">
        <f t="shared" si="70"/>
        <v>6050000</v>
      </c>
      <c r="K174" s="595">
        <f t="shared" si="70"/>
        <v>0</v>
      </c>
      <c r="L174" s="306">
        <f t="shared" si="69"/>
        <v>0.11890162575386679</v>
      </c>
      <c r="M174" s="357"/>
    </row>
    <row r="175" spans="1:13" s="13" customFormat="1" ht="12.75">
      <c r="A175" s="328">
        <v>750</v>
      </c>
      <c r="B175" s="1272" t="s">
        <v>134</v>
      </c>
      <c r="C175" s="1272"/>
      <c r="D175" s="1272"/>
      <c r="E175" s="1272"/>
      <c r="F175" s="570">
        <f aca="true" t="shared" si="71" ref="F175:K175">F35</f>
        <v>238608</v>
      </c>
      <c r="G175" s="352">
        <f t="shared" si="71"/>
        <v>182622</v>
      </c>
      <c r="H175" s="591">
        <f t="shared" si="71"/>
        <v>182622</v>
      </c>
      <c r="I175" s="592">
        <f t="shared" si="71"/>
        <v>0</v>
      </c>
      <c r="J175" s="591">
        <f t="shared" si="71"/>
        <v>0</v>
      </c>
      <c r="K175" s="593">
        <f t="shared" si="71"/>
        <v>0</v>
      </c>
      <c r="L175" s="306">
        <f t="shared" si="69"/>
        <v>0.0031559288265831436</v>
      </c>
      <c r="M175" s="357"/>
    </row>
    <row r="176" spans="1:13" s="13" customFormat="1" ht="24.75" customHeight="1">
      <c r="A176" s="328">
        <v>751</v>
      </c>
      <c r="B176" s="1272" t="s">
        <v>135</v>
      </c>
      <c r="C176" s="1272"/>
      <c r="D176" s="1272"/>
      <c r="E176" s="1272"/>
      <c r="F176" s="570">
        <f aca="true" t="shared" si="72" ref="F176:K176">F42</f>
        <v>96664</v>
      </c>
      <c r="G176" s="352">
        <f t="shared" si="72"/>
        <v>3080</v>
      </c>
      <c r="H176" s="591">
        <f t="shared" si="72"/>
        <v>3080</v>
      </c>
      <c r="I176" s="592">
        <f t="shared" si="72"/>
        <v>0</v>
      </c>
      <c r="J176" s="591">
        <f t="shared" si="72"/>
        <v>0</v>
      </c>
      <c r="K176" s="593">
        <f t="shared" si="72"/>
        <v>0</v>
      </c>
      <c r="L176" s="306">
        <f t="shared" si="69"/>
        <v>5.32261216385544E-05</v>
      </c>
      <c r="M176" s="357"/>
    </row>
    <row r="177" spans="1:13" s="13" customFormat="1" ht="12.75">
      <c r="A177" s="328">
        <v>752</v>
      </c>
      <c r="B177" s="1275" t="s">
        <v>209</v>
      </c>
      <c r="C177" s="1276"/>
      <c r="D177" s="1276"/>
      <c r="E177" s="1277"/>
      <c r="F177" s="570">
        <f aca="true" t="shared" si="73" ref="F177:K177">F45</f>
        <v>500</v>
      </c>
      <c r="G177" s="348">
        <f t="shared" si="73"/>
        <v>0</v>
      </c>
      <c r="H177" s="591">
        <f t="shared" si="73"/>
        <v>0</v>
      </c>
      <c r="I177" s="592">
        <f t="shared" si="73"/>
        <v>0</v>
      </c>
      <c r="J177" s="591">
        <f t="shared" si="73"/>
        <v>0</v>
      </c>
      <c r="K177" s="592">
        <f t="shared" si="73"/>
        <v>0</v>
      </c>
      <c r="L177" s="306">
        <f t="shared" si="69"/>
        <v>0</v>
      </c>
      <c r="M177" s="357"/>
    </row>
    <row r="178" spans="1:13" s="13" customFormat="1" ht="12.75">
      <c r="A178" s="328">
        <v>754</v>
      </c>
      <c r="B178" s="1272" t="s">
        <v>136</v>
      </c>
      <c r="C178" s="1272"/>
      <c r="D178" s="1272"/>
      <c r="E178" s="1272"/>
      <c r="F178" s="570">
        <f aca="true" t="shared" si="74" ref="F178:K178">F50</f>
        <v>37276</v>
      </c>
      <c r="G178" s="352">
        <f t="shared" si="74"/>
        <v>500</v>
      </c>
      <c r="H178" s="591">
        <f t="shared" si="74"/>
        <v>500</v>
      </c>
      <c r="I178" s="592">
        <f t="shared" si="74"/>
        <v>0</v>
      </c>
      <c r="J178" s="591">
        <f t="shared" si="74"/>
        <v>0</v>
      </c>
      <c r="K178" s="593">
        <f t="shared" si="74"/>
        <v>0</v>
      </c>
      <c r="L178" s="306">
        <f t="shared" si="69"/>
        <v>8.640604162102988E-06</v>
      </c>
      <c r="M178" s="357"/>
    </row>
    <row r="179" spans="1:13" s="13" customFormat="1" ht="25.5" customHeight="1">
      <c r="A179" s="328">
        <v>756</v>
      </c>
      <c r="B179" s="1272" t="s">
        <v>143</v>
      </c>
      <c r="C179" s="1272"/>
      <c r="D179" s="1272"/>
      <c r="E179" s="1272"/>
      <c r="F179" s="570">
        <f aca="true" t="shared" si="75" ref="F179:K179">F82</f>
        <v>26123689</v>
      </c>
      <c r="G179" s="352">
        <f t="shared" si="75"/>
        <v>27617288</v>
      </c>
      <c r="H179" s="591">
        <f t="shared" si="75"/>
        <v>27617288</v>
      </c>
      <c r="I179" s="592">
        <f t="shared" si="75"/>
        <v>0</v>
      </c>
      <c r="J179" s="591">
        <f t="shared" si="75"/>
        <v>0</v>
      </c>
      <c r="K179" s="593">
        <f t="shared" si="75"/>
        <v>0</v>
      </c>
      <c r="L179" s="306">
        <f t="shared" si="69"/>
        <v>0.47726010727759377</v>
      </c>
      <c r="M179" s="357"/>
    </row>
    <row r="180" spans="1:13" s="13" customFormat="1" ht="12.75">
      <c r="A180" s="328">
        <v>758</v>
      </c>
      <c r="B180" s="1272" t="s">
        <v>144</v>
      </c>
      <c r="C180" s="1272"/>
      <c r="D180" s="1272"/>
      <c r="E180" s="1272"/>
      <c r="F180" s="570">
        <f aca="true" t="shared" si="76" ref="F180:K180">F85</f>
        <v>9345621</v>
      </c>
      <c r="G180" s="352">
        <f t="shared" si="76"/>
        <v>10178132</v>
      </c>
      <c r="H180" s="591">
        <f t="shared" si="76"/>
        <v>10178132</v>
      </c>
      <c r="I180" s="592">
        <f t="shared" si="76"/>
        <v>0</v>
      </c>
      <c r="J180" s="591">
        <f t="shared" si="76"/>
        <v>0</v>
      </c>
      <c r="K180" s="593">
        <f t="shared" si="76"/>
        <v>0</v>
      </c>
      <c r="L180" s="306">
        <f t="shared" si="69"/>
        <v>0.17589041944326722</v>
      </c>
      <c r="M180" s="357"/>
    </row>
    <row r="181" spans="1:13" s="13" customFormat="1" ht="12.75">
      <c r="A181" s="328">
        <v>801</v>
      </c>
      <c r="B181" s="1272" t="s">
        <v>145</v>
      </c>
      <c r="C181" s="1272"/>
      <c r="D181" s="1272"/>
      <c r="E181" s="1272"/>
      <c r="F181" s="570">
        <f aca="true" t="shared" si="77" ref="F181:K181">F104</f>
        <v>868829</v>
      </c>
      <c r="G181" s="352">
        <f t="shared" si="77"/>
        <v>507100</v>
      </c>
      <c r="H181" s="591">
        <f t="shared" si="77"/>
        <v>507100</v>
      </c>
      <c r="I181" s="592">
        <f t="shared" si="77"/>
        <v>0</v>
      </c>
      <c r="J181" s="591">
        <f t="shared" si="77"/>
        <v>0</v>
      </c>
      <c r="K181" s="593">
        <f t="shared" si="77"/>
        <v>0</v>
      </c>
      <c r="L181" s="306">
        <f t="shared" si="69"/>
        <v>0.00876330074120485</v>
      </c>
      <c r="M181" s="357"/>
    </row>
    <row r="182" spans="1:13" s="13" customFormat="1" ht="12.75">
      <c r="A182" s="328">
        <v>852</v>
      </c>
      <c r="B182" s="1272" t="s">
        <v>147</v>
      </c>
      <c r="C182" s="1272"/>
      <c r="D182" s="1272"/>
      <c r="E182" s="1272"/>
      <c r="F182" s="570">
        <f aca="true" t="shared" si="78" ref="F182:K182">F125</f>
        <v>4195300</v>
      </c>
      <c r="G182" s="352">
        <f t="shared" si="78"/>
        <v>4073500</v>
      </c>
      <c r="H182" s="591">
        <f t="shared" si="78"/>
        <v>4073500</v>
      </c>
      <c r="I182" s="592">
        <f t="shared" si="78"/>
        <v>0</v>
      </c>
      <c r="J182" s="591">
        <f t="shared" si="78"/>
        <v>0</v>
      </c>
      <c r="K182" s="593">
        <f t="shared" si="78"/>
        <v>0</v>
      </c>
      <c r="L182" s="306">
        <f t="shared" si="69"/>
        <v>0.07039500210865304</v>
      </c>
      <c r="M182" s="357"/>
    </row>
    <row r="183" spans="1:13" s="13" customFormat="1" ht="12.75">
      <c r="A183" s="328">
        <v>853</v>
      </c>
      <c r="B183" s="1271" t="s">
        <v>781</v>
      </c>
      <c r="C183" s="1272"/>
      <c r="D183" s="1272"/>
      <c r="E183" s="1272"/>
      <c r="F183" s="570">
        <f aca="true" t="shared" si="79" ref="F183:K183">F129</f>
        <v>135471</v>
      </c>
      <c r="G183" s="352">
        <f t="shared" si="79"/>
        <v>0</v>
      </c>
      <c r="H183" s="586">
        <f t="shared" si="79"/>
        <v>0</v>
      </c>
      <c r="I183" s="594">
        <f t="shared" si="79"/>
        <v>0</v>
      </c>
      <c r="J183" s="586">
        <f t="shared" si="79"/>
        <v>0</v>
      </c>
      <c r="K183" s="595">
        <f t="shared" si="79"/>
        <v>0</v>
      </c>
      <c r="L183" s="306">
        <f t="shared" si="69"/>
        <v>0</v>
      </c>
      <c r="M183" s="357"/>
    </row>
    <row r="184" spans="1:13" s="13" customFormat="1" ht="12.75">
      <c r="A184" s="328">
        <v>854</v>
      </c>
      <c r="B184" s="1272" t="s">
        <v>148</v>
      </c>
      <c r="C184" s="1272"/>
      <c r="D184" s="1272"/>
      <c r="E184" s="1272"/>
      <c r="F184" s="570">
        <f aca="true" t="shared" si="80" ref="F184:K184">F132</f>
        <v>81051</v>
      </c>
      <c r="G184" s="352">
        <f t="shared" si="80"/>
        <v>0</v>
      </c>
      <c r="H184" s="591">
        <f t="shared" si="80"/>
        <v>0</v>
      </c>
      <c r="I184" s="592">
        <f t="shared" si="80"/>
        <v>0</v>
      </c>
      <c r="J184" s="591">
        <f t="shared" si="80"/>
        <v>0</v>
      </c>
      <c r="K184" s="593">
        <f t="shared" si="80"/>
        <v>0</v>
      </c>
      <c r="L184" s="306">
        <f t="shared" si="69"/>
        <v>0</v>
      </c>
      <c r="M184" s="357"/>
    </row>
    <row r="185" spans="1:13" s="13" customFormat="1" ht="12.75">
      <c r="A185" s="328">
        <v>900</v>
      </c>
      <c r="B185" s="1272" t="s">
        <v>149</v>
      </c>
      <c r="C185" s="1272"/>
      <c r="D185" s="1272"/>
      <c r="E185" s="1272"/>
      <c r="F185" s="570">
        <f aca="true" t="shared" si="81" ref="F185:K185">F157</f>
        <v>2429608</v>
      </c>
      <c r="G185" s="352">
        <f t="shared" si="81"/>
        <v>8229692</v>
      </c>
      <c r="H185" s="591">
        <f t="shared" si="81"/>
        <v>111100</v>
      </c>
      <c r="I185" s="592">
        <f t="shared" si="81"/>
        <v>0</v>
      </c>
      <c r="J185" s="591">
        <f t="shared" si="81"/>
        <v>8118592</v>
      </c>
      <c r="K185" s="593">
        <f t="shared" si="81"/>
        <v>8118592</v>
      </c>
      <c r="L185" s="306">
        <f t="shared" si="69"/>
        <v>0.14221902189605132</v>
      </c>
      <c r="M185" s="357"/>
    </row>
    <row r="186" spans="1:13" s="13" customFormat="1" ht="12.75">
      <c r="A186" s="328">
        <v>921</v>
      </c>
      <c r="B186" s="1271" t="s">
        <v>644</v>
      </c>
      <c r="C186" s="1272"/>
      <c r="D186" s="1272"/>
      <c r="E186" s="1272"/>
      <c r="F186" s="570">
        <f aca="true" t="shared" si="82" ref="F186:K186">F160</f>
        <v>18000</v>
      </c>
      <c r="G186" s="348">
        <f t="shared" si="82"/>
        <v>0</v>
      </c>
      <c r="H186" s="591">
        <f t="shared" si="82"/>
        <v>0</v>
      </c>
      <c r="I186" s="592">
        <f t="shared" si="82"/>
        <v>0</v>
      </c>
      <c r="J186" s="591">
        <f t="shared" si="82"/>
        <v>0</v>
      </c>
      <c r="K186" s="592">
        <f t="shared" si="82"/>
        <v>0</v>
      </c>
      <c r="L186" s="306">
        <f t="shared" si="69"/>
        <v>0</v>
      </c>
      <c r="M186" s="357"/>
    </row>
    <row r="187" spans="1:13" s="13" customFormat="1" ht="12.75">
      <c r="A187" s="328">
        <v>926</v>
      </c>
      <c r="B187" s="1271" t="s">
        <v>645</v>
      </c>
      <c r="C187" s="1272"/>
      <c r="D187" s="1272"/>
      <c r="E187" s="1272"/>
      <c r="F187" s="570">
        <f aca="true" t="shared" si="83" ref="F187:K187">F166</f>
        <v>1022260</v>
      </c>
      <c r="G187" s="348">
        <f t="shared" si="83"/>
        <v>44010</v>
      </c>
      <c r="H187" s="591">
        <f t="shared" si="83"/>
        <v>44010</v>
      </c>
      <c r="I187" s="592">
        <f t="shared" si="83"/>
        <v>44010</v>
      </c>
      <c r="J187" s="591">
        <f t="shared" si="83"/>
        <v>0</v>
      </c>
      <c r="K187" s="592">
        <f t="shared" si="83"/>
        <v>0</v>
      </c>
      <c r="L187" s="306">
        <f t="shared" si="69"/>
        <v>0.000760545978348305</v>
      </c>
      <c r="M187" s="357"/>
    </row>
    <row r="188" spans="1:13" s="13" customFormat="1" ht="13.5" thickBot="1">
      <c r="A188" s="1281" t="s">
        <v>683</v>
      </c>
      <c r="B188" s="1281"/>
      <c r="C188" s="1281"/>
      <c r="D188" s="1281"/>
      <c r="E188" s="1281"/>
      <c r="F188" s="588">
        <f aca="true" t="shared" si="84" ref="F188:L188">SUM(F173:F187)</f>
        <v>54773025</v>
      </c>
      <c r="G188" s="596">
        <f t="shared" si="84"/>
        <v>57866324</v>
      </c>
      <c r="H188" s="597">
        <f t="shared" si="84"/>
        <v>43547732</v>
      </c>
      <c r="I188" s="575">
        <f t="shared" si="84"/>
        <v>44010</v>
      </c>
      <c r="J188" s="597">
        <f t="shared" si="84"/>
        <v>14318592</v>
      </c>
      <c r="K188" s="573">
        <f t="shared" si="84"/>
        <v>8118592</v>
      </c>
      <c r="L188" s="399">
        <f t="shared" si="84"/>
        <v>0.9999999999999999</v>
      </c>
      <c r="M188" s="357"/>
    </row>
    <row r="189" spans="1:13" s="13" customFormat="1" ht="13.5" thickBot="1">
      <c r="A189" s="24"/>
      <c r="B189" s="24"/>
      <c r="C189" s="25"/>
      <c r="D189" s="26"/>
      <c r="E189" s="26"/>
      <c r="F189" s="589"/>
      <c r="G189" s="27"/>
      <c r="H189" s="28"/>
      <c r="I189" s="28"/>
      <c r="J189" s="28"/>
      <c r="K189" s="28"/>
      <c r="L189" s="29"/>
      <c r="M189" s="221"/>
    </row>
    <row r="190" spans="1:13" s="13" customFormat="1" ht="26.25" customHeight="1" thickBot="1">
      <c r="A190" s="1306" t="s">
        <v>150</v>
      </c>
      <c r="B190" s="1307"/>
      <c r="C190" s="1307"/>
      <c r="D190" s="1307"/>
      <c r="E190" s="1307"/>
      <c r="F190" s="699" t="s">
        <v>359</v>
      </c>
      <c r="G190" s="251" t="s">
        <v>563</v>
      </c>
      <c r="H190" s="19"/>
      <c r="I190" s="19"/>
      <c r="J190" s="19"/>
      <c r="K190" s="19"/>
      <c r="L190" s="21"/>
      <c r="M190" s="221"/>
    </row>
    <row r="191" spans="1:13" s="17" customFormat="1" ht="12.75" customHeight="1">
      <c r="A191" s="1308" t="s">
        <v>848</v>
      </c>
      <c r="B191" s="1309"/>
      <c r="C191" s="1309"/>
      <c r="D191" s="1309"/>
      <c r="E191" s="1309"/>
      <c r="F191" s="695">
        <f>F192+F193+F194+F195+F196</f>
        <v>5108149</v>
      </c>
      <c r="G191" s="697">
        <f>G192+G193+G194+G195+G196</f>
        <v>12408055</v>
      </c>
      <c r="H191" s="1274"/>
      <c r="I191" s="1274"/>
      <c r="J191" s="1274"/>
      <c r="K191" s="1274"/>
      <c r="L191" s="1274"/>
      <c r="M191" s="223"/>
    </row>
    <row r="192" spans="1:13" s="205" customFormat="1" ht="25.5" customHeight="1">
      <c r="A192" s="1296" t="s">
        <v>105</v>
      </c>
      <c r="B192" s="1310"/>
      <c r="C192" s="1310"/>
      <c r="D192" s="1310"/>
      <c r="E192" s="1311"/>
      <c r="F192" s="570">
        <f>F25+F31+F36+F38+F40+F43+F46+F106+F109+F120+F122</f>
        <v>3687762</v>
      </c>
      <c r="G192" s="348">
        <f>G25+G31+G36+G38+G40+G43+G46+G106+G109+G120+G122</f>
        <v>3532553</v>
      </c>
      <c r="H192" s="1317"/>
      <c r="I192" s="1317"/>
      <c r="J192" s="1317"/>
      <c r="K192" s="1317"/>
      <c r="L192" s="1317"/>
      <c r="M192" s="221"/>
    </row>
    <row r="193" spans="1:13" s="205" customFormat="1" ht="27" customHeight="1">
      <c r="A193" s="1296" t="s">
        <v>487</v>
      </c>
      <c r="B193" s="1297"/>
      <c r="C193" s="1297"/>
      <c r="D193" s="1297"/>
      <c r="E193" s="1297"/>
      <c r="F193" s="570">
        <v>0</v>
      </c>
      <c r="G193" s="348">
        <v>0</v>
      </c>
      <c r="H193" s="1274"/>
      <c r="I193" s="1274"/>
      <c r="J193" s="1274"/>
      <c r="K193" s="1274"/>
      <c r="L193" s="1274"/>
      <c r="M193" s="221"/>
    </row>
    <row r="194" spans="1:14" s="205" customFormat="1" ht="26.25" customHeight="1">
      <c r="A194" s="1296" t="s">
        <v>816</v>
      </c>
      <c r="B194" s="1297"/>
      <c r="C194" s="1297"/>
      <c r="D194" s="1297"/>
      <c r="E194" s="1297"/>
      <c r="F194" s="570">
        <f>F97</f>
        <v>117000</v>
      </c>
      <c r="G194" s="348">
        <f>G97</f>
        <v>120000</v>
      </c>
      <c r="H194" s="1274"/>
      <c r="I194" s="1274"/>
      <c r="J194" s="1274"/>
      <c r="K194" s="1274"/>
      <c r="L194" s="1274"/>
      <c r="M194" s="511"/>
      <c r="N194" s="199"/>
    </row>
    <row r="195" spans="1:14" s="205" customFormat="1" ht="24.75" customHeight="1">
      <c r="A195" s="1296" t="s">
        <v>106</v>
      </c>
      <c r="B195" s="1310"/>
      <c r="C195" s="1310"/>
      <c r="D195" s="1310"/>
      <c r="E195" s="1310"/>
      <c r="F195" s="570">
        <f>F101+F102+F126+F127+F138+F163+F164</f>
        <v>257361</v>
      </c>
      <c r="G195" s="348">
        <f>G101+G102+G126+G127+G138+G163+G164</f>
        <v>8162602</v>
      </c>
      <c r="H195" s="248"/>
      <c r="I195" s="248"/>
      <c r="J195" s="248"/>
      <c r="K195" s="248"/>
      <c r="L195" s="249"/>
      <c r="M195" s="511"/>
      <c r="N195" s="199"/>
    </row>
    <row r="196" spans="1:13" s="205" customFormat="1" ht="12.75" customHeight="1">
      <c r="A196" s="1318" t="s">
        <v>107</v>
      </c>
      <c r="B196" s="1297"/>
      <c r="C196" s="1297"/>
      <c r="D196" s="1297"/>
      <c r="E196" s="1297"/>
      <c r="F196" s="570">
        <f>F48+F88+F90+F110+F112+F114+F117+F123+F130</f>
        <v>1046026</v>
      </c>
      <c r="G196" s="348">
        <f>G48+G88+G90+G110+G112+G114+G117+G123+G130</f>
        <v>592900</v>
      </c>
      <c r="H196" s="248"/>
      <c r="I196" s="248"/>
      <c r="J196" s="248"/>
      <c r="K196" s="248"/>
      <c r="L196" s="249"/>
      <c r="M196" s="221"/>
    </row>
    <row r="197" spans="1:13" s="205" customFormat="1" ht="13.5" thickBot="1">
      <c r="A197" s="1319" t="s">
        <v>52</v>
      </c>
      <c r="B197" s="1320"/>
      <c r="C197" s="1320"/>
      <c r="D197" s="1320"/>
      <c r="E197" s="1320"/>
      <c r="F197" s="696">
        <f>F73</f>
        <v>232000</v>
      </c>
      <c r="G197" s="698">
        <f>G73</f>
        <v>235000</v>
      </c>
      <c r="H197" s="19"/>
      <c r="I197" s="19"/>
      <c r="J197" s="19"/>
      <c r="K197" s="19"/>
      <c r="L197" s="249"/>
      <c r="M197" s="221"/>
    </row>
    <row r="198" spans="1:13" s="13" customFormat="1" ht="12.75">
      <c r="A198" s="18"/>
      <c r="B198" s="18"/>
      <c r="C198" s="18"/>
      <c r="D198" s="18"/>
      <c r="E198" s="18"/>
      <c r="F198" s="248"/>
      <c r="G198" s="20"/>
      <c r="H198" s="19"/>
      <c r="I198" s="19"/>
      <c r="J198" s="19"/>
      <c r="K198" s="19"/>
      <c r="L198" s="21"/>
      <c r="M198" s="221"/>
    </row>
    <row r="199" spans="1:13" s="34" customFormat="1" ht="26.25" hidden="1" thickBot="1">
      <c r="A199" s="1282" t="s">
        <v>150</v>
      </c>
      <c r="B199" s="1282"/>
      <c r="C199" s="1282"/>
      <c r="D199" s="1282"/>
      <c r="E199" s="1282"/>
      <c r="F199" s="1282"/>
      <c r="G199" s="30" t="s">
        <v>359</v>
      </c>
      <c r="H199" s="31"/>
      <c r="I199" s="31"/>
      <c r="J199" s="32"/>
      <c r="K199" s="296"/>
      <c r="L199" s="33" t="s">
        <v>151</v>
      </c>
      <c r="M199" s="222"/>
    </row>
    <row r="200" spans="1:13" s="17" customFormat="1" ht="13.5" hidden="1" thickBot="1">
      <c r="A200" s="1285" t="s">
        <v>152</v>
      </c>
      <c r="B200" s="1285"/>
      <c r="C200" s="1285"/>
      <c r="D200" s="1285"/>
      <c r="E200" s="1285"/>
      <c r="F200" s="1285"/>
      <c r="G200" s="35" t="e">
        <f>G201+G202+G203</f>
        <v>#REF!</v>
      </c>
      <c r="H200" s="36"/>
      <c r="I200" s="36"/>
      <c r="J200" s="37"/>
      <c r="K200" s="297"/>
      <c r="L200" s="38" t="e">
        <f aca="true" t="shared" si="85" ref="L200:L223">G200/$G$223</f>
        <v>#REF!</v>
      </c>
      <c r="M200" s="223"/>
    </row>
    <row r="201" spans="1:13" s="13" customFormat="1" ht="12.75" hidden="1">
      <c r="A201" s="224"/>
      <c r="B201" s="1288" t="s">
        <v>771</v>
      </c>
      <c r="C201" s="1288"/>
      <c r="D201" s="1288"/>
      <c r="E201" s="1288"/>
      <c r="F201" s="1288"/>
      <c r="G201" s="255" t="e">
        <f>#REF!+G138</f>
        <v>#REF!</v>
      </c>
      <c r="H201" s="39"/>
      <c r="I201" s="39"/>
      <c r="J201" s="40"/>
      <c r="K201" s="298"/>
      <c r="L201" s="41" t="e">
        <f t="shared" si="85"/>
        <v>#REF!</v>
      </c>
      <c r="M201" s="221"/>
    </row>
    <row r="202" spans="1:13" s="13" customFormat="1" ht="12.75" hidden="1">
      <c r="A202" s="225"/>
      <c r="B202" s="1283" t="s">
        <v>153</v>
      </c>
      <c r="C202" s="1283"/>
      <c r="D202" s="1283"/>
      <c r="E202" s="1283"/>
      <c r="F202" s="1283"/>
      <c r="G202" s="256">
        <f>G21</f>
        <v>6000000</v>
      </c>
      <c r="H202" s="42"/>
      <c r="I202" s="42"/>
      <c r="J202" s="43"/>
      <c r="K202" s="299"/>
      <c r="L202" s="44" t="e">
        <f t="shared" si="85"/>
        <v>#REF!</v>
      </c>
      <c r="M202" s="221"/>
    </row>
    <row r="203" spans="1:13" s="13" customFormat="1" ht="13.5" hidden="1" thickBot="1">
      <c r="A203" s="226"/>
      <c r="B203" s="1284" t="s">
        <v>154</v>
      </c>
      <c r="C203" s="1284"/>
      <c r="D203" s="1284"/>
      <c r="E203" s="1284"/>
      <c r="F203" s="1284"/>
      <c r="G203" s="257">
        <v>0</v>
      </c>
      <c r="H203" s="45"/>
      <c r="I203" s="45"/>
      <c r="J203" s="46"/>
      <c r="K203" s="300"/>
      <c r="L203" s="47" t="e">
        <f t="shared" si="85"/>
        <v>#REF!</v>
      </c>
      <c r="M203" s="221"/>
    </row>
    <row r="204" spans="1:13" s="17" customFormat="1" ht="13.5" hidden="1" thickBot="1">
      <c r="A204" s="1285" t="s">
        <v>155</v>
      </c>
      <c r="B204" s="1285"/>
      <c r="C204" s="1285"/>
      <c r="D204" s="1285"/>
      <c r="E204" s="1285"/>
      <c r="F204" s="1285"/>
      <c r="G204" s="35" t="e">
        <f>SUM(G205:G222)</f>
        <v>#REF!</v>
      </c>
      <c r="H204" s="36"/>
      <c r="I204" s="36"/>
      <c r="J204" s="37"/>
      <c r="K204" s="297"/>
      <c r="L204" s="38" t="e">
        <f t="shared" si="85"/>
        <v>#REF!</v>
      </c>
      <c r="M204" s="223"/>
    </row>
    <row r="205" spans="1:13" s="13" customFormat="1" ht="12.75" hidden="1">
      <c r="A205" s="224"/>
      <c r="B205" s="1286" t="s">
        <v>156</v>
      </c>
      <c r="C205" s="1286"/>
      <c r="D205" s="1286"/>
      <c r="E205" s="1286"/>
      <c r="F205" s="1286"/>
      <c r="G205" s="255">
        <f>G79+G80</f>
        <v>17948829</v>
      </c>
      <c r="H205" s="48"/>
      <c r="I205" s="48"/>
      <c r="J205" s="49"/>
      <c r="K205" s="301"/>
      <c r="L205" s="41" t="e">
        <f t="shared" si="85"/>
        <v>#REF!</v>
      </c>
      <c r="M205" s="221"/>
    </row>
    <row r="206" spans="1:13" s="13" customFormat="1" ht="12.75" hidden="1">
      <c r="A206" s="227"/>
      <c r="B206" s="1280" t="s">
        <v>157</v>
      </c>
      <c r="C206" s="1280"/>
      <c r="D206" s="1280"/>
      <c r="E206" s="1280"/>
      <c r="F206" s="1280"/>
      <c r="G206" s="256">
        <f>G51+G54+G55+G56+G57+G61+G62+G63+G64+G65+G68</f>
        <v>8525455</v>
      </c>
      <c r="H206" s="50"/>
      <c r="I206" s="50"/>
      <c r="J206" s="51"/>
      <c r="K206" s="302"/>
      <c r="L206" s="44" t="e">
        <f t="shared" si="85"/>
        <v>#REF!</v>
      </c>
      <c r="M206" s="221"/>
    </row>
    <row r="207" spans="1:13" s="13" customFormat="1" ht="12.75" hidden="1">
      <c r="A207" s="227"/>
      <c r="B207" s="1280" t="s">
        <v>158</v>
      </c>
      <c r="C207" s="1280"/>
      <c r="D207" s="1280"/>
      <c r="E207" s="1280"/>
      <c r="F207" s="1280"/>
      <c r="G207" s="256">
        <f>G28+G66+G67+G69+G72+G73+G74+G77+G92+G133</f>
        <v>932700</v>
      </c>
      <c r="H207" s="50"/>
      <c r="I207" s="50"/>
      <c r="J207" s="51"/>
      <c r="K207" s="302"/>
      <c r="L207" s="44" t="e">
        <f t="shared" si="85"/>
        <v>#REF!</v>
      </c>
      <c r="M207" s="221"/>
    </row>
    <row r="208" spans="1:13" s="13" customFormat="1" ht="12.75" hidden="1">
      <c r="A208" s="227"/>
      <c r="B208" s="1280" t="s">
        <v>160</v>
      </c>
      <c r="C208" s="1280"/>
      <c r="D208" s="1280"/>
      <c r="E208" s="1280"/>
      <c r="F208" s="1280"/>
      <c r="G208" s="256" t="e">
        <f>G15+G18+G19+#REF!</f>
        <v>#REF!</v>
      </c>
      <c r="H208" s="50"/>
      <c r="I208" s="50"/>
      <c r="J208" s="51"/>
      <c r="K208" s="302"/>
      <c r="L208" s="44" t="e">
        <f t="shared" si="85"/>
        <v>#REF!</v>
      </c>
      <c r="M208" s="221"/>
    </row>
    <row r="209" spans="1:13" s="13" customFormat="1" ht="12.75" hidden="1">
      <c r="A209" s="227"/>
      <c r="B209" s="1280" t="s">
        <v>161</v>
      </c>
      <c r="C209" s="1280"/>
      <c r="D209" s="1280"/>
      <c r="E209" s="1280"/>
      <c r="F209" s="1280"/>
      <c r="G209" s="256">
        <f>G83</f>
        <v>10178132</v>
      </c>
      <c r="H209" s="50"/>
      <c r="I209" s="50"/>
      <c r="J209" s="51"/>
      <c r="K209" s="302"/>
      <c r="L209" s="44" t="e">
        <f t="shared" si="85"/>
        <v>#REF!</v>
      </c>
      <c r="M209" s="221"/>
    </row>
    <row r="210" spans="1:13" s="13" customFormat="1" ht="12.75" hidden="1">
      <c r="A210" s="227"/>
      <c r="B210" s="1280" t="s">
        <v>162</v>
      </c>
      <c r="C210" s="1280"/>
      <c r="D210" s="1280"/>
      <c r="E210" s="1280"/>
      <c r="F210" s="1280"/>
      <c r="G210" s="256">
        <f>G16+G22+G33+G52+G58+G70+G75+G86+G95+G116+G135</f>
        <v>165600</v>
      </c>
      <c r="H210" s="50"/>
      <c r="I210" s="50"/>
      <c r="J210" s="51"/>
      <c r="K210" s="302"/>
      <c r="L210" s="44" t="e">
        <f t="shared" si="85"/>
        <v>#REF!</v>
      </c>
      <c r="M210" s="221"/>
    </row>
    <row r="211" spans="1:13" s="13" customFormat="1" ht="12.75" hidden="1">
      <c r="A211" s="227"/>
      <c r="B211" s="1280" t="s">
        <v>163</v>
      </c>
      <c r="C211" s="1280"/>
      <c r="D211" s="1280"/>
      <c r="E211" s="1280"/>
      <c r="F211" s="1280"/>
      <c r="G211" s="256">
        <f>G11+G136</f>
        <v>0</v>
      </c>
      <c r="H211" s="50"/>
      <c r="I211" s="50"/>
      <c r="J211" s="51"/>
      <c r="K211" s="302"/>
      <c r="L211" s="44" t="e">
        <f t="shared" si="85"/>
        <v>#REF!</v>
      </c>
      <c r="M211" s="221"/>
    </row>
    <row r="212" spans="1:13" s="13" customFormat="1" ht="12.75" hidden="1">
      <c r="A212" s="227"/>
      <c r="B212" s="1280" t="s">
        <v>115</v>
      </c>
      <c r="C212" s="1280"/>
      <c r="D212" s="1280"/>
      <c r="E212" s="1280"/>
      <c r="F212" s="1280"/>
      <c r="G212" s="256" t="e">
        <f>G25+#REF!+G40+#REF!+G46+G106+G109+#REF!+G120</f>
        <v>#REF!</v>
      </c>
      <c r="H212" s="50"/>
      <c r="I212" s="50"/>
      <c r="J212" s="51"/>
      <c r="K212" s="302"/>
      <c r="L212" s="44" t="e">
        <f t="shared" si="85"/>
        <v>#REF!</v>
      </c>
      <c r="M212" s="221"/>
    </row>
    <row r="213" spans="1:13" s="13" customFormat="1" ht="12.75" hidden="1">
      <c r="A213" s="227"/>
      <c r="B213" s="1280" t="s">
        <v>123</v>
      </c>
      <c r="C213" s="1280"/>
      <c r="D213" s="1280"/>
      <c r="E213" s="1280"/>
      <c r="F213" s="1280"/>
      <c r="G213" s="256">
        <f>G88+G101+G110+G112+G114+G117+G123+G130</f>
        <v>592900</v>
      </c>
      <c r="H213" s="50"/>
      <c r="I213" s="50"/>
      <c r="J213" s="51"/>
      <c r="K213" s="302"/>
      <c r="L213" s="44" t="e">
        <f t="shared" si="85"/>
        <v>#REF!</v>
      </c>
      <c r="M213" s="221"/>
    </row>
    <row r="214" spans="1:13" s="13" customFormat="1" ht="12.75" hidden="1">
      <c r="A214" s="227"/>
      <c r="B214" s="1163" t="s">
        <v>164</v>
      </c>
      <c r="C214" s="1163"/>
      <c r="D214" s="1163"/>
      <c r="E214" s="1163"/>
      <c r="F214" s="1163"/>
      <c r="G214" s="256" t="e">
        <f>#REF!</f>
        <v>#REF!</v>
      </c>
      <c r="H214" s="50"/>
      <c r="I214" s="50"/>
      <c r="J214" s="51"/>
      <c r="K214" s="302"/>
      <c r="L214" s="44" t="e">
        <f t="shared" si="85"/>
        <v>#REF!</v>
      </c>
      <c r="M214" s="221"/>
    </row>
    <row r="215" spans="1:13" s="13" customFormat="1" ht="12.75" hidden="1">
      <c r="A215" s="227"/>
      <c r="B215" s="1163" t="s">
        <v>112</v>
      </c>
      <c r="C215" s="1163"/>
      <c r="D215" s="1163"/>
      <c r="E215" s="1163"/>
      <c r="F215" s="1163"/>
      <c r="G215" s="256">
        <f>G97</f>
        <v>120000</v>
      </c>
      <c r="H215" s="50"/>
      <c r="I215" s="50"/>
      <c r="J215" s="51"/>
      <c r="K215" s="302"/>
      <c r="L215" s="44" t="e">
        <f t="shared" si="85"/>
        <v>#REF!</v>
      </c>
      <c r="M215" s="221"/>
    </row>
    <row r="216" spans="1:13" s="13" customFormat="1" ht="12.75" hidden="1">
      <c r="A216" s="227"/>
      <c r="B216" s="1163" t="s">
        <v>611</v>
      </c>
      <c r="C216" s="1289"/>
      <c r="D216" s="1289"/>
      <c r="E216" s="1289"/>
      <c r="F216" s="1290"/>
      <c r="G216" s="256">
        <f>G89+G140+G143+G147</f>
        <v>6000</v>
      </c>
      <c r="H216" s="50"/>
      <c r="I216" s="50"/>
      <c r="J216" s="51"/>
      <c r="K216" s="302"/>
      <c r="L216" s="44" t="e">
        <f t="shared" si="85"/>
        <v>#REF!</v>
      </c>
      <c r="M216" s="221"/>
    </row>
    <row r="217" spans="1:13" s="13" customFormat="1" ht="12.75" hidden="1">
      <c r="A217" s="227"/>
      <c r="B217" s="1288" t="s">
        <v>361</v>
      </c>
      <c r="C217" s="1288"/>
      <c r="D217" s="1288"/>
      <c r="E217" s="1288"/>
      <c r="F217" s="1288"/>
      <c r="G217" s="256" t="e">
        <f>#REF!+#REF!</f>
        <v>#REF!</v>
      </c>
      <c r="H217" s="50"/>
      <c r="I217" s="50"/>
      <c r="J217" s="51"/>
      <c r="K217" s="302"/>
      <c r="L217" s="44" t="e">
        <f t="shared" si="85"/>
        <v>#REF!</v>
      </c>
      <c r="M217" s="221"/>
    </row>
    <row r="218" spans="1:13" s="13" customFormat="1" ht="12.75" hidden="1">
      <c r="A218" s="227"/>
      <c r="B218" s="1291" t="s">
        <v>56</v>
      </c>
      <c r="C218" s="1292"/>
      <c r="D218" s="1292"/>
      <c r="E218" s="1292"/>
      <c r="F218" s="1293"/>
      <c r="G218" s="256" t="e">
        <f>#REF!</f>
        <v>#REF!</v>
      </c>
      <c r="H218" s="50"/>
      <c r="I218" s="50"/>
      <c r="J218" s="51"/>
      <c r="K218" s="302"/>
      <c r="L218" s="44" t="e">
        <f t="shared" si="85"/>
        <v>#REF!</v>
      </c>
      <c r="M218" s="221"/>
    </row>
    <row r="219" spans="1:13" s="13" customFormat="1" ht="12.75" hidden="1">
      <c r="A219" s="227"/>
      <c r="B219" s="1280" t="s">
        <v>165</v>
      </c>
      <c r="C219" s="1280"/>
      <c r="D219" s="1280"/>
      <c r="E219" s="1280"/>
      <c r="F219" s="1280"/>
      <c r="G219" s="256">
        <f>G59</f>
        <v>524004</v>
      </c>
      <c r="H219" s="50"/>
      <c r="I219" s="50"/>
      <c r="J219" s="51"/>
      <c r="K219" s="302"/>
      <c r="L219" s="44" t="e">
        <f t="shared" si="85"/>
        <v>#REF!</v>
      </c>
      <c r="M219" s="221"/>
    </row>
    <row r="220" spans="1:13" s="13" customFormat="1" ht="12.75" hidden="1">
      <c r="A220" s="227"/>
      <c r="B220" s="1280" t="s">
        <v>693</v>
      </c>
      <c r="C220" s="1280"/>
      <c r="D220" s="1280"/>
      <c r="E220" s="1280"/>
      <c r="F220" s="1280"/>
      <c r="G220" s="256">
        <f>G26</f>
        <v>149</v>
      </c>
      <c r="H220" s="50"/>
      <c r="I220" s="50"/>
      <c r="J220" s="51"/>
      <c r="K220" s="302"/>
      <c r="L220" s="44" t="e">
        <f t="shared" si="85"/>
        <v>#REF!</v>
      </c>
      <c r="M220" s="510"/>
    </row>
    <row r="221" spans="1:13" s="13" customFormat="1" ht="12.75" hidden="1">
      <c r="A221" s="227"/>
      <c r="B221" s="1163" t="s">
        <v>694</v>
      </c>
      <c r="C221" s="1163"/>
      <c r="D221" s="1163"/>
      <c r="E221" s="1163"/>
      <c r="F221" s="1163"/>
      <c r="G221" s="256">
        <f>G137</f>
        <v>61500</v>
      </c>
      <c r="H221" s="50"/>
      <c r="I221" s="50"/>
      <c r="J221" s="51"/>
      <c r="K221" s="302"/>
      <c r="L221" s="44" t="e">
        <f t="shared" si="85"/>
        <v>#REF!</v>
      </c>
      <c r="M221" s="221"/>
    </row>
    <row r="222" spans="1:13" s="13" customFormat="1" ht="13.5" hidden="1" thickBot="1">
      <c r="A222" s="228"/>
      <c r="B222" s="1295" t="s">
        <v>220</v>
      </c>
      <c r="C222" s="1295"/>
      <c r="D222" s="1295"/>
      <c r="E222" s="1295"/>
      <c r="F222" s="1295"/>
      <c r="G222" s="257" t="e">
        <f>G188-G200-G205-G206-G207-G208-G209-G210-G211-G212-G213-G214-G215-G216-G217-G218-G219-G220-G221</f>
        <v>#REF!</v>
      </c>
      <c r="H222" s="52"/>
      <c r="I222" s="52"/>
      <c r="J222" s="53"/>
      <c r="K222" s="303"/>
      <c r="L222" s="47" t="e">
        <f t="shared" si="85"/>
        <v>#REF!</v>
      </c>
      <c r="M222" s="221"/>
    </row>
    <row r="223" spans="1:13" s="13" customFormat="1" ht="13.5" hidden="1" thickBot="1">
      <c r="A223" s="1287" t="s">
        <v>695</v>
      </c>
      <c r="B223" s="1287"/>
      <c r="C223" s="1287"/>
      <c r="D223" s="1287"/>
      <c r="E223" s="1287"/>
      <c r="F223" s="1287"/>
      <c r="G223" s="22" t="e">
        <f>G200+G204</f>
        <v>#REF!</v>
      </c>
      <c r="H223" s="23"/>
      <c r="I223" s="23"/>
      <c r="J223" s="54"/>
      <c r="K223" s="304"/>
      <c r="L223" s="55" t="e">
        <f t="shared" si="85"/>
        <v>#REF!</v>
      </c>
      <c r="M223" s="221"/>
    </row>
    <row r="224" spans="1:13" s="13" customFormat="1" ht="12.75">
      <c r="A224" s="1"/>
      <c r="B224" s="1"/>
      <c r="C224" s="1"/>
      <c r="D224" s="1"/>
      <c r="E224" s="1"/>
      <c r="F224" s="590"/>
      <c r="G224" s="2"/>
      <c r="H224" s="3"/>
      <c r="I224" s="3"/>
      <c r="J224" s="3"/>
      <c r="K224" s="3"/>
      <c r="L224" s="4"/>
      <c r="M224" s="221"/>
    </row>
    <row r="226" ht="12.75">
      <c r="B226" s="235"/>
    </row>
  </sheetData>
  <mergeCells count="78">
    <mergeCell ref="A195:E195"/>
    <mergeCell ref="A196:E196"/>
    <mergeCell ref="A197:E197"/>
    <mergeCell ref="L7:L9"/>
    <mergeCell ref="G170:G172"/>
    <mergeCell ref="H170:K170"/>
    <mergeCell ref="H171:H172"/>
    <mergeCell ref="J171:J172"/>
    <mergeCell ref="L170:L172"/>
    <mergeCell ref="H8:H9"/>
    <mergeCell ref="J8:J9"/>
    <mergeCell ref="H7:K7"/>
    <mergeCell ref="H194:L194"/>
    <mergeCell ref="H192:L192"/>
    <mergeCell ref="H193:L193"/>
    <mergeCell ref="A190:E190"/>
    <mergeCell ref="A191:E191"/>
    <mergeCell ref="A192:E192"/>
    <mergeCell ref="A193:E193"/>
    <mergeCell ref="A194:E194"/>
    <mergeCell ref="A1:L1"/>
    <mergeCell ref="A167:E167"/>
    <mergeCell ref="G7:G9"/>
    <mergeCell ref="A2:L2"/>
    <mergeCell ref="A4:L4"/>
    <mergeCell ref="A5:L5"/>
    <mergeCell ref="F7:F9"/>
    <mergeCell ref="A7:A9"/>
    <mergeCell ref="B7:B9"/>
    <mergeCell ref="C7:C9"/>
    <mergeCell ref="B222:F222"/>
    <mergeCell ref="B209:F209"/>
    <mergeCell ref="B210:F210"/>
    <mergeCell ref="B211:F211"/>
    <mergeCell ref="B212:F212"/>
    <mergeCell ref="A200:F200"/>
    <mergeCell ref="B207:F207"/>
    <mergeCell ref="B208:F208"/>
    <mergeCell ref="B201:F201"/>
    <mergeCell ref="A223:F223"/>
    <mergeCell ref="B213:F213"/>
    <mergeCell ref="B214:F214"/>
    <mergeCell ref="B215:F215"/>
    <mergeCell ref="B219:F219"/>
    <mergeCell ref="B217:F217"/>
    <mergeCell ref="B216:F216"/>
    <mergeCell ref="B218:F218"/>
    <mergeCell ref="B220:F220"/>
    <mergeCell ref="B221:F221"/>
    <mergeCell ref="B202:F202"/>
    <mergeCell ref="B203:F203"/>
    <mergeCell ref="A204:F204"/>
    <mergeCell ref="B205:F205"/>
    <mergeCell ref="B206:F206"/>
    <mergeCell ref="B176:E176"/>
    <mergeCell ref="B185:E185"/>
    <mergeCell ref="A188:E188"/>
    <mergeCell ref="A199:F199"/>
    <mergeCell ref="B186:E186"/>
    <mergeCell ref="B183:E183"/>
    <mergeCell ref="B184:E184"/>
    <mergeCell ref="B178:E178"/>
    <mergeCell ref="B179:E179"/>
    <mergeCell ref="B173:E173"/>
    <mergeCell ref="A169:L169"/>
    <mergeCell ref="A170:A172"/>
    <mergeCell ref="B170:E172"/>
    <mergeCell ref="F170:F172"/>
    <mergeCell ref="B187:E187"/>
    <mergeCell ref="D7:D9"/>
    <mergeCell ref="E7:E9"/>
    <mergeCell ref="H191:L191"/>
    <mergeCell ref="B174:E174"/>
    <mergeCell ref="B175:E175"/>
    <mergeCell ref="B181:E181"/>
    <mergeCell ref="B182:E182"/>
    <mergeCell ref="B177:E177"/>
    <mergeCell ref="B180:E180"/>
  </mergeCells>
  <printOptions horizontalCentered="1"/>
  <pageMargins left="0" right="0" top="0.7874015748031497" bottom="0.5905511811023623" header="0.5118110236220472" footer="0.31496062992125984"/>
  <pageSetup fitToWidth="5" horizontalDpi="300" verticalDpi="300" orientation="landscape" paperSize="9" r:id="rId1"/>
  <headerFooter alignWithMargins="0">
    <oddFooter>&amp;CStrona &amp;P</oddFooter>
  </headerFooter>
  <rowBreaks count="1" manualBreakCount="1">
    <brk id="1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08"/>
  <sheetViews>
    <sheetView zoomScale="115" zoomScaleNormal="115" workbookViewId="0" topLeftCell="A54">
      <selection activeCell="P77" sqref="P77:P78"/>
    </sheetView>
  </sheetViews>
  <sheetFormatPr defaultColWidth="9.33203125" defaultRowHeight="12.75"/>
  <cols>
    <col min="1" max="1" width="12.33203125" style="0" customWidth="1"/>
    <col min="2" max="2" width="6" style="0" customWidth="1"/>
    <col min="3" max="3" width="7.16015625" style="0" bestFit="1" customWidth="1"/>
    <col min="4" max="4" width="26.66015625" style="0" customWidth="1"/>
    <col min="5" max="5" width="15.33203125" style="231" customWidth="1"/>
    <col min="6" max="7" width="11.16015625" style="57" customWidth="1"/>
    <col min="8" max="8" width="11.16015625" style="271" customWidth="1"/>
    <col min="9" max="9" width="11.16015625" style="0" customWidth="1"/>
    <col min="10" max="10" width="11.5" style="0" bestFit="1" customWidth="1"/>
    <col min="11" max="12" width="10" style="268" customWidth="1"/>
    <col min="13" max="14" width="9.5" style="0" customWidth="1"/>
    <col min="15" max="15" width="10" style="268" customWidth="1"/>
    <col min="16" max="16" width="11.16015625" style="0" customWidth="1"/>
    <col min="17" max="17" width="9.66015625" style="58" customWidth="1"/>
  </cols>
  <sheetData>
    <row r="1" spans="1:17" s="59" customFormat="1" ht="12.75" customHeight="1">
      <c r="A1" s="1353" t="s">
        <v>402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  <c r="N1" s="1353"/>
      <c r="O1" s="1353"/>
      <c r="P1" s="1353"/>
      <c r="Q1" s="1353"/>
    </row>
    <row r="2" spans="1:23" s="59" customFormat="1" ht="12" customHeight="1">
      <c r="A2" s="1354" t="s">
        <v>188</v>
      </c>
      <c r="B2" s="1354"/>
      <c r="C2" s="1354"/>
      <c r="D2" s="1354"/>
      <c r="E2" s="1354"/>
      <c r="F2" s="1354"/>
      <c r="G2" s="1354"/>
      <c r="H2" s="1354"/>
      <c r="I2" s="1354"/>
      <c r="J2" s="1354"/>
      <c r="K2" s="1354"/>
      <c r="L2" s="1354"/>
      <c r="M2" s="1354"/>
      <c r="N2" s="1354"/>
      <c r="O2" s="1354"/>
      <c r="P2" s="1354"/>
      <c r="Q2" s="1354"/>
      <c r="R2" s="258"/>
      <c r="S2" s="258"/>
      <c r="T2" s="258"/>
      <c r="U2" s="258"/>
      <c r="V2" s="258"/>
      <c r="W2" s="258"/>
    </row>
    <row r="3" spans="1:23" s="59" customFormat="1" ht="6" customHeight="1">
      <c r="A3" s="694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258"/>
      <c r="S3" s="258"/>
      <c r="T3" s="258"/>
      <c r="U3" s="258"/>
      <c r="V3" s="258"/>
      <c r="W3" s="258"/>
    </row>
    <row r="4" spans="1:23" s="59" customFormat="1" ht="15.75">
      <c r="A4" s="1357" t="s">
        <v>214</v>
      </c>
      <c r="B4" s="1357"/>
      <c r="C4" s="1357"/>
      <c r="D4" s="1357"/>
      <c r="E4" s="1357"/>
      <c r="F4" s="1357"/>
      <c r="G4" s="1357"/>
      <c r="H4" s="1357"/>
      <c r="I4" s="1357"/>
      <c r="J4" s="1357"/>
      <c r="K4" s="1357"/>
      <c r="L4" s="1357"/>
      <c r="M4" s="1357"/>
      <c r="N4" s="1357"/>
      <c r="O4" s="1357"/>
      <c r="P4" s="1357"/>
      <c r="Q4" s="1357"/>
      <c r="R4" s="258"/>
      <c r="S4" s="258"/>
      <c r="T4" s="258"/>
      <c r="U4" s="258"/>
      <c r="V4" s="258"/>
      <c r="W4" s="258"/>
    </row>
    <row r="5" spans="1:17" s="60" customFormat="1" ht="15.75">
      <c r="A5" s="1355" t="s">
        <v>646</v>
      </c>
      <c r="B5" s="1355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</row>
    <row r="6" spans="1:17" s="60" customFormat="1" ht="15.75">
      <c r="A6" s="1356" t="s">
        <v>176</v>
      </c>
      <c r="B6" s="1356"/>
      <c r="C6" s="1356"/>
      <c r="D6" s="1356"/>
      <c r="E6" s="1356"/>
      <c r="F6" s="1356"/>
      <c r="G6" s="1356"/>
      <c r="H6" s="1356"/>
      <c r="I6" s="1356"/>
      <c r="J6" s="1356"/>
      <c r="K6" s="1356"/>
      <c r="L6" s="1356"/>
      <c r="M6" s="1356"/>
      <c r="N6" s="1356"/>
      <c r="O6" s="1356"/>
      <c r="P6" s="1356"/>
      <c r="Q6" s="1356"/>
    </row>
    <row r="7" spans="1:16" s="60" customFormat="1" ht="13.5" thickBot="1">
      <c r="A7" s="1344"/>
      <c r="B7" s="1344"/>
      <c r="C7" s="1344"/>
      <c r="D7" s="1344"/>
      <c r="E7" s="1344"/>
      <c r="F7" s="1344"/>
      <c r="G7" s="1344"/>
      <c r="H7" s="1344"/>
      <c r="I7" s="1344"/>
      <c r="J7" s="1344"/>
      <c r="K7" s="266"/>
      <c r="L7" s="266"/>
      <c r="M7" s="151"/>
      <c r="N7" s="151"/>
      <c r="O7" s="266"/>
      <c r="P7" s="278" t="s">
        <v>413</v>
      </c>
    </row>
    <row r="8" spans="1:17" s="60" customFormat="1" ht="12.75" customHeight="1" thickBot="1">
      <c r="A8" s="1345" t="s">
        <v>647</v>
      </c>
      <c r="B8" s="1346" t="s">
        <v>414</v>
      </c>
      <c r="C8" s="1346" t="s">
        <v>662</v>
      </c>
      <c r="D8" s="1345" t="s">
        <v>416</v>
      </c>
      <c r="E8" s="1347" t="s">
        <v>754</v>
      </c>
      <c r="F8" s="1339" t="s">
        <v>755</v>
      </c>
      <c r="G8" s="1336" t="s">
        <v>696</v>
      </c>
      <c r="H8" s="1337"/>
      <c r="I8" s="1337"/>
      <c r="J8" s="1337"/>
      <c r="K8" s="1337"/>
      <c r="L8" s="1337"/>
      <c r="M8" s="1337"/>
      <c r="N8" s="1337"/>
      <c r="O8" s="1337"/>
      <c r="P8" s="1338"/>
      <c r="Q8" s="1333" t="s">
        <v>223</v>
      </c>
    </row>
    <row r="9" spans="1:17" s="60" customFormat="1" ht="12.75" customHeight="1">
      <c r="A9" s="1345"/>
      <c r="B9" s="1346"/>
      <c r="C9" s="1346"/>
      <c r="D9" s="1345"/>
      <c r="E9" s="1347"/>
      <c r="F9" s="1348"/>
      <c r="G9" s="1341" t="s">
        <v>225</v>
      </c>
      <c r="H9" s="1350" t="s">
        <v>696</v>
      </c>
      <c r="I9" s="1351"/>
      <c r="J9" s="1351"/>
      <c r="K9" s="1351"/>
      <c r="L9" s="1351"/>
      <c r="M9" s="1351"/>
      <c r="N9" s="1351"/>
      <c r="O9" s="1352"/>
      <c r="P9" s="1339" t="s">
        <v>697</v>
      </c>
      <c r="Q9" s="1334"/>
    </row>
    <row r="10" spans="1:17" s="60" customFormat="1" ht="12.75" customHeight="1">
      <c r="A10" s="1345"/>
      <c r="B10" s="1346"/>
      <c r="C10" s="1346"/>
      <c r="D10" s="1345"/>
      <c r="E10" s="1347"/>
      <c r="F10" s="1348"/>
      <c r="G10" s="1342"/>
      <c r="H10" s="1343" t="s">
        <v>498</v>
      </c>
      <c r="I10" s="1349" t="s">
        <v>696</v>
      </c>
      <c r="J10" s="1349"/>
      <c r="K10" s="1330" t="s">
        <v>224</v>
      </c>
      <c r="L10" s="1330" t="s">
        <v>126</v>
      </c>
      <c r="M10" s="1330" t="s">
        <v>555</v>
      </c>
      <c r="N10" s="1330" t="s">
        <v>679</v>
      </c>
      <c r="O10" s="1331" t="s">
        <v>698</v>
      </c>
      <c r="P10" s="1340"/>
      <c r="Q10" s="1334"/>
    </row>
    <row r="11" spans="1:17" s="60" customFormat="1" ht="109.5" customHeight="1">
      <c r="A11" s="1345"/>
      <c r="B11" s="1346"/>
      <c r="C11" s="1346"/>
      <c r="D11" s="1345"/>
      <c r="E11" s="1347"/>
      <c r="F11" s="1348"/>
      <c r="G11" s="1342"/>
      <c r="H11" s="1343"/>
      <c r="I11" s="281" t="s">
        <v>822</v>
      </c>
      <c r="J11" s="281" t="s">
        <v>821</v>
      </c>
      <c r="K11" s="1330"/>
      <c r="L11" s="1330"/>
      <c r="M11" s="1330"/>
      <c r="N11" s="1330"/>
      <c r="O11" s="1331"/>
      <c r="P11" s="1340"/>
      <c r="Q11" s="1335"/>
    </row>
    <row r="12" spans="1:17" s="60" customFormat="1" ht="8.25" customHeight="1">
      <c r="A12" s="279">
        <v>1</v>
      </c>
      <c r="B12" s="279">
        <v>2</v>
      </c>
      <c r="C12" s="279">
        <v>3</v>
      </c>
      <c r="D12" s="279">
        <v>4</v>
      </c>
      <c r="E12" s="282">
        <v>5</v>
      </c>
      <c r="F12" s="288">
        <v>6</v>
      </c>
      <c r="G12" s="288">
        <v>7</v>
      </c>
      <c r="H12" s="337">
        <v>8</v>
      </c>
      <c r="I12" s="279">
        <v>9</v>
      </c>
      <c r="J12" s="279">
        <v>10</v>
      </c>
      <c r="K12" s="280">
        <v>11</v>
      </c>
      <c r="L12" s="280">
        <v>12</v>
      </c>
      <c r="M12" s="279">
        <v>13</v>
      </c>
      <c r="N12" s="279">
        <v>14</v>
      </c>
      <c r="O12" s="329">
        <v>15</v>
      </c>
      <c r="P12" s="288">
        <v>16</v>
      </c>
      <c r="Q12" s="333">
        <v>17</v>
      </c>
    </row>
    <row r="13" spans="1:17" s="56" customFormat="1" ht="12.75">
      <c r="A13" s="1324" t="s">
        <v>648</v>
      </c>
      <c r="B13" s="272">
        <v>801</v>
      </c>
      <c r="C13" s="272">
        <v>80101</v>
      </c>
      <c r="D13" s="229" t="s">
        <v>477</v>
      </c>
      <c r="E13" s="283" t="e">
        <f>#REF!</f>
        <v>#REF!</v>
      </c>
      <c r="F13" s="655" t="e">
        <f>#REF!</f>
        <v>#REF!</v>
      </c>
      <c r="G13" s="661" t="e">
        <f>F13-P13</f>
        <v>#REF!</v>
      </c>
      <c r="H13" s="338" t="e">
        <f>G13-K13-L13-M13-N13-O13</f>
        <v>#REF!</v>
      </c>
      <c r="I13" s="273" t="e">
        <f>#REF!+#REF!+#REF!+#REF!+#REF!</f>
        <v>#REF!</v>
      </c>
      <c r="J13" s="274" t="e">
        <f>H13-I13</f>
        <v>#REF!</v>
      </c>
      <c r="K13" s="275">
        <v>0</v>
      </c>
      <c r="L13" s="275">
        <v>0</v>
      </c>
      <c r="M13" s="274">
        <v>0</v>
      </c>
      <c r="N13" s="274">
        <v>0</v>
      </c>
      <c r="O13" s="330">
        <v>0</v>
      </c>
      <c r="P13" s="666" t="e">
        <f>#REF!+#REF!+#REF!+#REF!+#REF!+#REF!</f>
        <v>#REF!</v>
      </c>
      <c r="Q13" s="334" t="e">
        <f aca="true" t="shared" si="0" ref="Q13:Q76">F13/E13</f>
        <v>#REF!</v>
      </c>
    </row>
    <row r="14" spans="1:17" s="60" customFormat="1" ht="12.75">
      <c r="A14" s="1325"/>
      <c r="B14" s="272">
        <v>801</v>
      </c>
      <c r="C14" s="272">
        <v>80110</v>
      </c>
      <c r="D14" s="229" t="s">
        <v>113</v>
      </c>
      <c r="E14" s="283" t="e">
        <f>#REF!</f>
        <v>#REF!</v>
      </c>
      <c r="F14" s="655" t="e">
        <f>#REF!</f>
        <v>#REF!</v>
      </c>
      <c r="G14" s="661" t="e">
        <f>F14-P14</f>
        <v>#REF!</v>
      </c>
      <c r="H14" s="338" t="e">
        <f>G14-K14-L14-M14-N14-O14</f>
        <v>#REF!</v>
      </c>
      <c r="I14" s="273" t="e">
        <f>#REF!+#REF!+#REF!+#REF!+#REF!</f>
        <v>#REF!</v>
      </c>
      <c r="J14" s="274" t="e">
        <f>H14-I14</f>
        <v>#REF!</v>
      </c>
      <c r="K14" s="275">
        <v>0</v>
      </c>
      <c r="L14" s="275">
        <v>0</v>
      </c>
      <c r="M14" s="274">
        <v>0</v>
      </c>
      <c r="N14" s="274">
        <v>0</v>
      </c>
      <c r="O14" s="330">
        <v>0</v>
      </c>
      <c r="P14" s="666">
        <v>0</v>
      </c>
      <c r="Q14" s="334" t="e">
        <f t="shared" si="0"/>
        <v>#REF!</v>
      </c>
    </row>
    <row r="15" spans="1:17" s="60" customFormat="1" ht="12.75">
      <c r="A15" s="1325"/>
      <c r="B15" s="272">
        <v>801</v>
      </c>
      <c r="C15" s="272">
        <v>80195</v>
      </c>
      <c r="D15" s="229" t="s">
        <v>51</v>
      </c>
      <c r="E15" s="283" t="e">
        <f>#REF!</f>
        <v>#REF!</v>
      </c>
      <c r="F15" s="655" t="e">
        <f>#REF!</f>
        <v>#REF!</v>
      </c>
      <c r="G15" s="661" t="e">
        <f>F15-P15</f>
        <v>#REF!</v>
      </c>
      <c r="H15" s="338" t="e">
        <f>G15-K15-L15-M15-N15-O15</f>
        <v>#REF!</v>
      </c>
      <c r="I15" s="273">
        <v>0</v>
      </c>
      <c r="J15" s="274" t="e">
        <f>H15-I15</f>
        <v>#REF!</v>
      </c>
      <c r="K15" s="275">
        <v>0</v>
      </c>
      <c r="L15" s="275">
        <v>0</v>
      </c>
      <c r="M15" s="274">
        <v>0</v>
      </c>
      <c r="N15" s="274">
        <v>0</v>
      </c>
      <c r="O15" s="330">
        <v>0</v>
      </c>
      <c r="P15" s="666">
        <v>0</v>
      </c>
      <c r="Q15" s="334" t="e">
        <f t="shared" si="0"/>
        <v>#REF!</v>
      </c>
    </row>
    <row r="16" spans="1:17" s="60" customFormat="1" ht="25.5">
      <c r="A16" s="1325"/>
      <c r="B16" s="272">
        <v>854</v>
      </c>
      <c r="C16" s="272">
        <v>85415</v>
      </c>
      <c r="D16" s="229" t="s">
        <v>120</v>
      </c>
      <c r="E16" s="283" t="e">
        <f>#REF!</f>
        <v>#REF!</v>
      </c>
      <c r="F16" s="655" t="e">
        <f>#REF!</f>
        <v>#REF!</v>
      </c>
      <c r="G16" s="661" t="e">
        <f>F16-P16</f>
        <v>#REF!</v>
      </c>
      <c r="H16" s="338" t="e">
        <f>G16-K16-L16-M16-N16-O16</f>
        <v>#REF!</v>
      </c>
      <c r="I16" s="273">
        <v>0</v>
      </c>
      <c r="J16" s="274" t="e">
        <f>H16-I16</f>
        <v>#REF!</v>
      </c>
      <c r="K16" s="275">
        <v>0</v>
      </c>
      <c r="L16" s="275" t="e">
        <f>#REF!+#REF!+#REF!</f>
        <v>#REF!</v>
      </c>
      <c r="M16" s="274">
        <v>0</v>
      </c>
      <c r="N16" s="274">
        <v>0</v>
      </c>
      <c r="O16" s="330">
        <v>0</v>
      </c>
      <c r="P16" s="666">
        <v>0</v>
      </c>
      <c r="Q16" s="334" t="e">
        <f t="shared" si="0"/>
        <v>#REF!</v>
      </c>
    </row>
    <row r="17" spans="1:17" s="60" customFormat="1" ht="25.5">
      <c r="A17" s="1326"/>
      <c r="B17" s="272">
        <v>926</v>
      </c>
      <c r="C17" s="272">
        <v>92605</v>
      </c>
      <c r="D17" s="229" t="s">
        <v>641</v>
      </c>
      <c r="E17" s="283" t="e">
        <f>#REF!</f>
        <v>#REF!</v>
      </c>
      <c r="F17" s="655" t="e">
        <f>#REF!</f>
        <v>#REF!</v>
      </c>
      <c r="G17" s="661" t="e">
        <f>F17-P17</f>
        <v>#REF!</v>
      </c>
      <c r="H17" s="338" t="e">
        <f>G17-K17-L17-M17-N17-O17</f>
        <v>#REF!</v>
      </c>
      <c r="I17" s="273">
        <v>0</v>
      </c>
      <c r="J17" s="274" t="e">
        <f>H17-I17</f>
        <v>#REF!</v>
      </c>
      <c r="K17" s="275">
        <v>0</v>
      </c>
      <c r="L17" s="275">
        <v>0</v>
      </c>
      <c r="M17" s="274" t="e">
        <f>#REF!</f>
        <v>#REF!</v>
      </c>
      <c r="N17" s="274">
        <v>0</v>
      </c>
      <c r="O17" s="330">
        <v>0</v>
      </c>
      <c r="P17" s="666">
        <v>0</v>
      </c>
      <c r="Q17" s="334" t="e">
        <f t="shared" si="0"/>
        <v>#REF!</v>
      </c>
    </row>
    <row r="18" spans="1:17" s="60" customFormat="1" ht="12.75">
      <c r="A18" s="1329" t="s">
        <v>649</v>
      </c>
      <c r="B18" s="1329"/>
      <c r="C18" s="1329"/>
      <c r="D18" s="1329"/>
      <c r="E18" s="284" t="e">
        <f aca="true" t="shared" si="1" ref="E18:P18">SUM(E13:E17)</f>
        <v>#REF!</v>
      </c>
      <c r="F18" s="289" t="e">
        <f t="shared" si="1"/>
        <v>#REF!</v>
      </c>
      <c r="G18" s="662" t="e">
        <f t="shared" si="1"/>
        <v>#REF!</v>
      </c>
      <c r="H18" s="286" t="e">
        <f t="shared" si="1"/>
        <v>#REF!</v>
      </c>
      <c r="I18" s="253" t="e">
        <f t="shared" si="1"/>
        <v>#REF!</v>
      </c>
      <c r="J18" s="253" t="e">
        <f t="shared" si="1"/>
        <v>#REF!</v>
      </c>
      <c r="K18" s="253">
        <f t="shared" si="1"/>
        <v>0</v>
      </c>
      <c r="L18" s="253" t="e">
        <f t="shared" si="1"/>
        <v>#REF!</v>
      </c>
      <c r="M18" s="253" t="e">
        <f t="shared" si="1"/>
        <v>#REF!</v>
      </c>
      <c r="N18" s="253">
        <f t="shared" si="1"/>
        <v>0</v>
      </c>
      <c r="O18" s="331">
        <f t="shared" si="1"/>
        <v>0</v>
      </c>
      <c r="P18" s="289" t="e">
        <f t="shared" si="1"/>
        <v>#REF!</v>
      </c>
      <c r="Q18" s="335" t="e">
        <f t="shared" si="0"/>
        <v>#REF!</v>
      </c>
    </row>
    <row r="19" spans="1:17" s="60" customFormat="1" ht="12.75">
      <c r="A19" s="1324" t="s">
        <v>650</v>
      </c>
      <c r="B19" s="272">
        <v>801</v>
      </c>
      <c r="C19" s="272">
        <v>80101</v>
      </c>
      <c r="D19" s="229" t="s">
        <v>477</v>
      </c>
      <c r="E19" s="283" t="e">
        <f>#REF!</f>
        <v>#REF!</v>
      </c>
      <c r="F19" s="655" t="e">
        <f>#REF!</f>
        <v>#REF!</v>
      </c>
      <c r="G19" s="661" t="e">
        <f aca="true" t="shared" si="2" ref="G19:G24">F19-P19</f>
        <v>#REF!</v>
      </c>
      <c r="H19" s="338" t="e">
        <f aca="true" t="shared" si="3" ref="H19:H24">G19-K19-L19-M19-N19-O19</f>
        <v>#REF!</v>
      </c>
      <c r="I19" s="273" t="e">
        <f>#REF!+#REF!+#REF!+#REF!+#REF!</f>
        <v>#REF!</v>
      </c>
      <c r="J19" s="274" t="e">
        <f aca="true" t="shared" si="4" ref="J19:J24">H19-I19</f>
        <v>#REF!</v>
      </c>
      <c r="K19" s="275">
        <v>0</v>
      </c>
      <c r="L19" s="275">
        <v>0</v>
      </c>
      <c r="M19" s="274">
        <v>0</v>
      </c>
      <c r="N19" s="274">
        <v>0</v>
      </c>
      <c r="O19" s="330">
        <v>0</v>
      </c>
      <c r="P19" s="666" t="e">
        <f>#REF!</f>
        <v>#REF!</v>
      </c>
      <c r="Q19" s="334" t="e">
        <f t="shared" si="0"/>
        <v>#REF!</v>
      </c>
    </row>
    <row r="20" spans="1:17" s="60" customFormat="1" ht="12.75">
      <c r="A20" s="1325"/>
      <c r="B20" s="272">
        <v>801</v>
      </c>
      <c r="C20" s="272">
        <v>80104</v>
      </c>
      <c r="D20" s="229" t="s">
        <v>483</v>
      </c>
      <c r="E20" s="283" t="e">
        <f>#REF!</f>
        <v>#REF!</v>
      </c>
      <c r="F20" s="655" t="e">
        <f>#REF!</f>
        <v>#REF!</v>
      </c>
      <c r="G20" s="661" t="e">
        <f t="shared" si="2"/>
        <v>#REF!</v>
      </c>
      <c r="H20" s="338" t="e">
        <f t="shared" si="3"/>
        <v>#REF!</v>
      </c>
      <c r="I20" s="273" t="e">
        <f>#REF!+#REF!+#REF!+#REF!</f>
        <v>#REF!</v>
      </c>
      <c r="J20" s="274" t="e">
        <f t="shared" si="4"/>
        <v>#REF!</v>
      </c>
      <c r="K20" s="275">
        <v>0</v>
      </c>
      <c r="L20" s="275">
        <v>0</v>
      </c>
      <c r="M20" s="274">
        <v>0</v>
      </c>
      <c r="N20" s="274">
        <v>0</v>
      </c>
      <c r="O20" s="330">
        <v>0</v>
      </c>
      <c r="P20" s="666" t="e">
        <f>#REF!</f>
        <v>#REF!</v>
      </c>
      <c r="Q20" s="334" t="e">
        <f t="shared" si="0"/>
        <v>#REF!</v>
      </c>
    </row>
    <row r="21" spans="1:17" s="60" customFormat="1" ht="12.75">
      <c r="A21" s="1325"/>
      <c r="B21" s="272">
        <v>801</v>
      </c>
      <c r="C21" s="272">
        <v>80110</v>
      </c>
      <c r="D21" s="229" t="s">
        <v>113</v>
      </c>
      <c r="E21" s="283" t="e">
        <f>#REF!</f>
        <v>#REF!</v>
      </c>
      <c r="F21" s="655" t="e">
        <f>#REF!</f>
        <v>#REF!</v>
      </c>
      <c r="G21" s="661" t="e">
        <f t="shared" si="2"/>
        <v>#REF!</v>
      </c>
      <c r="H21" s="338" t="e">
        <f t="shared" si="3"/>
        <v>#REF!</v>
      </c>
      <c r="I21" s="273" t="e">
        <f>#REF!+#REF!+#REF!+#REF!</f>
        <v>#REF!</v>
      </c>
      <c r="J21" s="274" t="e">
        <f t="shared" si="4"/>
        <v>#REF!</v>
      </c>
      <c r="K21" s="275">
        <v>0</v>
      </c>
      <c r="L21" s="275">
        <v>0</v>
      </c>
      <c r="M21" s="274">
        <v>0</v>
      </c>
      <c r="N21" s="274">
        <v>0</v>
      </c>
      <c r="O21" s="330">
        <v>0</v>
      </c>
      <c r="P21" s="666">
        <v>0</v>
      </c>
      <c r="Q21" s="334" t="e">
        <f t="shared" si="0"/>
        <v>#REF!</v>
      </c>
    </row>
    <row r="22" spans="1:17" s="60" customFormat="1" ht="12.75">
      <c r="A22" s="1325"/>
      <c r="B22" s="272">
        <v>801</v>
      </c>
      <c r="C22" s="272">
        <v>80195</v>
      </c>
      <c r="D22" s="229" t="s">
        <v>51</v>
      </c>
      <c r="E22" s="283" t="e">
        <f>#REF!</f>
        <v>#REF!</v>
      </c>
      <c r="F22" s="655" t="e">
        <f>#REF!</f>
        <v>#REF!</v>
      </c>
      <c r="G22" s="661" t="e">
        <f t="shared" si="2"/>
        <v>#REF!</v>
      </c>
      <c r="H22" s="338" t="e">
        <f t="shared" si="3"/>
        <v>#REF!</v>
      </c>
      <c r="I22" s="273">
        <v>0</v>
      </c>
      <c r="J22" s="274" t="e">
        <f t="shared" si="4"/>
        <v>#REF!</v>
      </c>
      <c r="K22" s="275">
        <v>0</v>
      </c>
      <c r="L22" s="275">
        <v>0</v>
      </c>
      <c r="M22" s="274">
        <v>0</v>
      </c>
      <c r="N22" s="274">
        <v>0</v>
      </c>
      <c r="O22" s="330">
        <v>0</v>
      </c>
      <c r="P22" s="666">
        <v>0</v>
      </c>
      <c r="Q22" s="334" t="e">
        <f t="shared" si="0"/>
        <v>#REF!</v>
      </c>
    </row>
    <row r="23" spans="1:17" s="60" customFormat="1" ht="25.5">
      <c r="A23" s="1325"/>
      <c r="B23" s="272">
        <v>854</v>
      </c>
      <c r="C23" s="272">
        <v>85415</v>
      </c>
      <c r="D23" s="229" t="s">
        <v>120</v>
      </c>
      <c r="E23" s="283" t="e">
        <f>#REF!</f>
        <v>#REF!</v>
      </c>
      <c r="F23" s="655" t="e">
        <f>#REF!</f>
        <v>#REF!</v>
      </c>
      <c r="G23" s="661" t="e">
        <f t="shared" si="2"/>
        <v>#REF!</v>
      </c>
      <c r="H23" s="338" t="e">
        <f t="shared" si="3"/>
        <v>#REF!</v>
      </c>
      <c r="I23" s="273">
        <v>0</v>
      </c>
      <c r="J23" s="274" t="e">
        <f t="shared" si="4"/>
        <v>#REF!</v>
      </c>
      <c r="K23" s="275">
        <v>0</v>
      </c>
      <c r="L23" s="275" t="e">
        <f>#REF!+#REF!</f>
        <v>#REF!</v>
      </c>
      <c r="M23" s="274">
        <v>0</v>
      </c>
      <c r="N23" s="274">
        <v>0</v>
      </c>
      <c r="O23" s="330">
        <v>0</v>
      </c>
      <c r="P23" s="666">
        <v>0</v>
      </c>
      <c r="Q23" s="334" t="e">
        <f t="shared" si="0"/>
        <v>#REF!</v>
      </c>
    </row>
    <row r="24" spans="1:17" s="60" customFormat="1" ht="25.5">
      <c r="A24" s="1326"/>
      <c r="B24" s="272">
        <v>926</v>
      </c>
      <c r="C24" s="272">
        <v>92605</v>
      </c>
      <c r="D24" s="229" t="s">
        <v>641</v>
      </c>
      <c r="E24" s="283" t="e">
        <f>#REF!</f>
        <v>#REF!</v>
      </c>
      <c r="F24" s="655" t="e">
        <f>#REF!</f>
        <v>#REF!</v>
      </c>
      <c r="G24" s="661" t="e">
        <f t="shared" si="2"/>
        <v>#REF!</v>
      </c>
      <c r="H24" s="338" t="e">
        <f t="shared" si="3"/>
        <v>#REF!</v>
      </c>
      <c r="I24" s="273">
        <v>0</v>
      </c>
      <c r="J24" s="274" t="e">
        <f t="shared" si="4"/>
        <v>#REF!</v>
      </c>
      <c r="K24" s="275">
        <v>0</v>
      </c>
      <c r="L24" s="275">
        <v>0</v>
      </c>
      <c r="M24" s="274" t="e">
        <f>#REF!</f>
        <v>#REF!</v>
      </c>
      <c r="N24" s="274">
        <v>0</v>
      </c>
      <c r="O24" s="330">
        <v>0</v>
      </c>
      <c r="P24" s="666">
        <v>0</v>
      </c>
      <c r="Q24" s="334" t="e">
        <f t="shared" si="0"/>
        <v>#REF!</v>
      </c>
    </row>
    <row r="25" spans="1:17" s="60" customFormat="1" ht="12.75">
      <c r="A25" s="1329" t="s">
        <v>651</v>
      </c>
      <c r="B25" s="1329"/>
      <c r="C25" s="1329"/>
      <c r="D25" s="1329"/>
      <c r="E25" s="284" t="e">
        <f>SUM(E19:E24)</f>
        <v>#REF!</v>
      </c>
      <c r="F25" s="289" t="e">
        <f>SUM(F19:F24)</f>
        <v>#REF!</v>
      </c>
      <c r="G25" s="662" t="e">
        <f>SUM(G19:G24)</f>
        <v>#REF!</v>
      </c>
      <c r="H25" s="286" t="e">
        <f>SUM(H19:H24)</f>
        <v>#REF!</v>
      </c>
      <c r="I25" s="286" t="e">
        <f aca="true" t="shared" si="5" ref="I25:P25">SUM(I19:I24)</f>
        <v>#REF!</v>
      </c>
      <c r="J25" s="286" t="e">
        <f t="shared" si="5"/>
        <v>#REF!</v>
      </c>
      <c r="K25" s="286">
        <f t="shared" si="5"/>
        <v>0</v>
      </c>
      <c r="L25" s="286" t="e">
        <f t="shared" si="5"/>
        <v>#REF!</v>
      </c>
      <c r="M25" s="286" t="e">
        <f t="shared" si="5"/>
        <v>#REF!</v>
      </c>
      <c r="N25" s="286">
        <f t="shared" si="5"/>
        <v>0</v>
      </c>
      <c r="O25" s="744">
        <f t="shared" si="5"/>
        <v>0</v>
      </c>
      <c r="P25" s="289" t="e">
        <f t="shared" si="5"/>
        <v>#REF!</v>
      </c>
      <c r="Q25" s="335" t="e">
        <f t="shared" si="0"/>
        <v>#REF!</v>
      </c>
    </row>
    <row r="26" spans="1:17" s="60" customFormat="1" ht="12.75">
      <c r="A26" s="1324" t="s">
        <v>652</v>
      </c>
      <c r="B26" s="272">
        <v>801</v>
      </c>
      <c r="C26" s="272">
        <v>80101</v>
      </c>
      <c r="D26" s="229" t="s">
        <v>477</v>
      </c>
      <c r="E26" s="283" t="e">
        <f>#REF!</f>
        <v>#REF!</v>
      </c>
      <c r="F26" s="655" t="e">
        <f>#REF!</f>
        <v>#REF!</v>
      </c>
      <c r="G26" s="661" t="e">
        <f aca="true" t="shared" si="6" ref="G26:G31">F26-P26</f>
        <v>#REF!</v>
      </c>
      <c r="H26" s="338" t="e">
        <f aca="true" t="shared" si="7" ref="H26:H31">G26-K26-L26-M26-N26-O26</f>
        <v>#REF!</v>
      </c>
      <c r="I26" s="273" t="e">
        <f>#REF!+#REF!+#REF!+#REF!+#REF!</f>
        <v>#REF!</v>
      </c>
      <c r="J26" s="274" t="e">
        <f aca="true" t="shared" si="8" ref="J26:J31">H26-I26</f>
        <v>#REF!</v>
      </c>
      <c r="K26" s="275">
        <v>0</v>
      </c>
      <c r="L26" s="275">
        <v>0</v>
      </c>
      <c r="M26" s="274">
        <v>0</v>
      </c>
      <c r="N26" s="274">
        <v>0</v>
      </c>
      <c r="O26" s="330">
        <v>0</v>
      </c>
      <c r="P26" s="666" t="e">
        <f>#REF!</f>
        <v>#REF!</v>
      </c>
      <c r="Q26" s="334" t="e">
        <f t="shared" si="0"/>
        <v>#REF!</v>
      </c>
    </row>
    <row r="27" spans="1:17" s="60" customFormat="1" ht="25.5">
      <c r="A27" s="1325"/>
      <c r="B27" s="272">
        <v>801</v>
      </c>
      <c r="C27" s="272">
        <v>80103</v>
      </c>
      <c r="D27" s="229" t="s">
        <v>627</v>
      </c>
      <c r="E27" s="283" t="e">
        <f>#REF!</f>
        <v>#REF!</v>
      </c>
      <c r="F27" s="655" t="e">
        <f>#REF!</f>
        <v>#REF!</v>
      </c>
      <c r="G27" s="661" t="e">
        <f t="shared" si="6"/>
        <v>#REF!</v>
      </c>
      <c r="H27" s="338" t="e">
        <f t="shared" si="7"/>
        <v>#REF!</v>
      </c>
      <c r="I27" s="273" t="e">
        <f>#REF!+#REF!+#REF!+#REF!</f>
        <v>#REF!</v>
      </c>
      <c r="J27" s="274" t="e">
        <f t="shared" si="8"/>
        <v>#REF!</v>
      </c>
      <c r="K27" s="275">
        <v>0</v>
      </c>
      <c r="L27" s="275">
        <v>0</v>
      </c>
      <c r="M27" s="274">
        <v>0</v>
      </c>
      <c r="N27" s="274">
        <v>0</v>
      </c>
      <c r="O27" s="330">
        <v>0</v>
      </c>
      <c r="P27" s="666">
        <v>0</v>
      </c>
      <c r="Q27" s="334" t="e">
        <f t="shared" si="0"/>
        <v>#REF!</v>
      </c>
    </row>
    <row r="28" spans="1:17" s="60" customFormat="1" ht="14.25" customHeight="1">
      <c r="A28" s="1325"/>
      <c r="B28" s="272">
        <v>801</v>
      </c>
      <c r="C28" s="272">
        <v>80110</v>
      </c>
      <c r="D28" s="229" t="s">
        <v>113</v>
      </c>
      <c r="E28" s="283" t="e">
        <f>#REF!</f>
        <v>#REF!</v>
      </c>
      <c r="F28" s="655" t="e">
        <f>#REF!</f>
        <v>#REF!</v>
      </c>
      <c r="G28" s="661" t="e">
        <f t="shared" si="6"/>
        <v>#REF!</v>
      </c>
      <c r="H28" s="338" t="e">
        <f t="shared" si="7"/>
        <v>#REF!</v>
      </c>
      <c r="I28" s="273" t="e">
        <f>#REF!+#REF!+#REF!+#REF!+#REF!</f>
        <v>#REF!</v>
      </c>
      <c r="J28" s="274" t="e">
        <f t="shared" si="8"/>
        <v>#REF!</v>
      </c>
      <c r="K28" s="275">
        <v>0</v>
      </c>
      <c r="L28" s="275">
        <v>0</v>
      </c>
      <c r="M28" s="274">
        <v>0</v>
      </c>
      <c r="N28" s="274">
        <v>0</v>
      </c>
      <c r="O28" s="330">
        <v>0</v>
      </c>
      <c r="P28" s="666">
        <v>0</v>
      </c>
      <c r="Q28" s="334" t="e">
        <f t="shared" si="0"/>
        <v>#REF!</v>
      </c>
    </row>
    <row r="29" spans="1:17" s="60" customFormat="1" ht="12.75">
      <c r="A29" s="1325"/>
      <c r="B29" s="272">
        <v>801</v>
      </c>
      <c r="C29" s="272">
        <v>80195</v>
      </c>
      <c r="D29" s="229" t="s">
        <v>51</v>
      </c>
      <c r="E29" s="283" t="e">
        <f>#REF!</f>
        <v>#REF!</v>
      </c>
      <c r="F29" s="655" t="e">
        <f>#REF!</f>
        <v>#REF!</v>
      </c>
      <c r="G29" s="661" t="e">
        <f t="shared" si="6"/>
        <v>#REF!</v>
      </c>
      <c r="H29" s="338" t="e">
        <f t="shared" si="7"/>
        <v>#REF!</v>
      </c>
      <c r="I29" s="273">
        <v>0</v>
      </c>
      <c r="J29" s="274" t="e">
        <f t="shared" si="8"/>
        <v>#REF!</v>
      </c>
      <c r="K29" s="275">
        <v>0</v>
      </c>
      <c r="L29" s="275">
        <v>0</v>
      </c>
      <c r="M29" s="274">
        <v>0</v>
      </c>
      <c r="N29" s="274">
        <v>0</v>
      </c>
      <c r="O29" s="330">
        <v>0</v>
      </c>
      <c r="P29" s="666">
        <v>0</v>
      </c>
      <c r="Q29" s="334" t="e">
        <f t="shared" si="0"/>
        <v>#REF!</v>
      </c>
    </row>
    <row r="30" spans="1:17" s="60" customFormat="1" ht="25.5">
      <c r="A30" s="1325"/>
      <c r="B30" s="272">
        <v>854</v>
      </c>
      <c r="C30" s="272">
        <v>85415</v>
      </c>
      <c r="D30" s="229" t="s">
        <v>120</v>
      </c>
      <c r="E30" s="283" t="e">
        <f>#REF!</f>
        <v>#REF!</v>
      </c>
      <c r="F30" s="655" t="e">
        <f>#REF!</f>
        <v>#REF!</v>
      </c>
      <c r="G30" s="661" t="e">
        <f t="shared" si="6"/>
        <v>#REF!</v>
      </c>
      <c r="H30" s="338" t="e">
        <f t="shared" si="7"/>
        <v>#REF!</v>
      </c>
      <c r="I30" s="273">
        <v>0</v>
      </c>
      <c r="J30" s="274" t="e">
        <f t="shared" si="8"/>
        <v>#REF!</v>
      </c>
      <c r="K30" s="275">
        <v>0</v>
      </c>
      <c r="L30" s="275" t="e">
        <f>#REF!+#REF!</f>
        <v>#REF!</v>
      </c>
      <c r="M30" s="274">
        <v>0</v>
      </c>
      <c r="N30" s="274">
        <v>0</v>
      </c>
      <c r="O30" s="330">
        <v>0</v>
      </c>
      <c r="P30" s="666">
        <v>0</v>
      </c>
      <c r="Q30" s="334" t="e">
        <f t="shared" si="0"/>
        <v>#REF!</v>
      </c>
    </row>
    <row r="31" spans="1:17" s="60" customFormat="1" ht="25.5">
      <c r="A31" s="1326"/>
      <c r="B31" s="272">
        <v>926</v>
      </c>
      <c r="C31" s="272">
        <v>92605</v>
      </c>
      <c r="D31" s="229" t="s">
        <v>641</v>
      </c>
      <c r="E31" s="283" t="e">
        <f>#REF!</f>
        <v>#REF!</v>
      </c>
      <c r="F31" s="655" t="e">
        <f>#REF!</f>
        <v>#REF!</v>
      </c>
      <c r="G31" s="661" t="e">
        <f t="shared" si="6"/>
        <v>#REF!</v>
      </c>
      <c r="H31" s="338" t="e">
        <f t="shared" si="7"/>
        <v>#REF!</v>
      </c>
      <c r="I31" s="273">
        <v>0</v>
      </c>
      <c r="J31" s="274" t="e">
        <f t="shared" si="8"/>
        <v>#REF!</v>
      </c>
      <c r="K31" s="275">
        <v>0</v>
      </c>
      <c r="L31" s="275">
        <v>0</v>
      </c>
      <c r="M31" s="274" t="e">
        <f>#REF!</f>
        <v>#REF!</v>
      </c>
      <c r="N31" s="274">
        <v>0</v>
      </c>
      <c r="O31" s="330">
        <v>0</v>
      </c>
      <c r="P31" s="666">
        <v>0</v>
      </c>
      <c r="Q31" s="334" t="e">
        <f t="shared" si="0"/>
        <v>#REF!</v>
      </c>
    </row>
    <row r="32" spans="1:17" s="60" customFormat="1" ht="12.75">
      <c r="A32" s="1329" t="s">
        <v>653</v>
      </c>
      <c r="B32" s="1329"/>
      <c r="C32" s="1329"/>
      <c r="D32" s="1329"/>
      <c r="E32" s="284" t="e">
        <f>SUM(E26:E31)</f>
        <v>#REF!</v>
      </c>
      <c r="F32" s="289" t="e">
        <f>SUM(F26:F31)</f>
        <v>#REF!</v>
      </c>
      <c r="G32" s="662" t="e">
        <f aca="true" t="shared" si="9" ref="G32:P32">SUM(G26:G31)</f>
        <v>#REF!</v>
      </c>
      <c r="H32" s="654" t="e">
        <f t="shared" si="9"/>
        <v>#REF!</v>
      </c>
      <c r="I32" s="253" t="e">
        <f t="shared" si="9"/>
        <v>#REF!</v>
      </c>
      <c r="J32" s="253" t="e">
        <f t="shared" si="9"/>
        <v>#REF!</v>
      </c>
      <c r="K32" s="253">
        <f t="shared" si="9"/>
        <v>0</v>
      </c>
      <c r="L32" s="253" t="e">
        <f t="shared" si="9"/>
        <v>#REF!</v>
      </c>
      <c r="M32" s="253" t="e">
        <f t="shared" si="9"/>
        <v>#REF!</v>
      </c>
      <c r="N32" s="253">
        <f t="shared" si="9"/>
        <v>0</v>
      </c>
      <c r="O32" s="744">
        <f t="shared" si="9"/>
        <v>0</v>
      </c>
      <c r="P32" s="289" t="e">
        <f t="shared" si="9"/>
        <v>#REF!</v>
      </c>
      <c r="Q32" s="335" t="e">
        <f t="shared" si="0"/>
        <v>#REF!</v>
      </c>
    </row>
    <row r="33" spans="1:17" s="60" customFormat="1" ht="12.75" customHeight="1">
      <c r="A33" s="1327" t="s">
        <v>654</v>
      </c>
      <c r="B33" s="272">
        <v>801</v>
      </c>
      <c r="C33" s="272">
        <v>80104</v>
      </c>
      <c r="D33" s="229" t="s">
        <v>483</v>
      </c>
      <c r="E33" s="283" t="e">
        <f>#REF!</f>
        <v>#REF!</v>
      </c>
      <c r="F33" s="655" t="e">
        <f>#REF!</f>
        <v>#REF!</v>
      </c>
      <c r="G33" s="661" t="e">
        <f>F33-P33</f>
        <v>#REF!</v>
      </c>
      <c r="H33" s="338" t="e">
        <f>G33-K33-L33-M33-N33-O33</f>
        <v>#REF!</v>
      </c>
      <c r="I33" s="273" t="e">
        <f>#REF!+#REF!+#REF!+#REF!+#REF!</f>
        <v>#REF!</v>
      </c>
      <c r="J33" s="274" t="e">
        <f>H33-I33</f>
        <v>#REF!</v>
      </c>
      <c r="K33" s="275">
        <v>0</v>
      </c>
      <c r="L33" s="275">
        <v>0</v>
      </c>
      <c r="M33" s="274">
        <v>0</v>
      </c>
      <c r="N33" s="274">
        <v>0</v>
      </c>
      <c r="O33" s="330">
        <v>0</v>
      </c>
      <c r="P33" s="666" t="e">
        <f>#REF!+#REF!+#REF!</f>
        <v>#REF!</v>
      </c>
      <c r="Q33" s="334" t="e">
        <f t="shared" si="0"/>
        <v>#REF!</v>
      </c>
    </row>
    <row r="34" spans="1:17" s="60" customFormat="1" ht="12.75">
      <c r="A34" s="1327"/>
      <c r="B34" s="272">
        <v>801</v>
      </c>
      <c r="C34" s="272">
        <v>80195</v>
      </c>
      <c r="D34" s="229" t="s">
        <v>51</v>
      </c>
      <c r="E34" s="283" t="e">
        <f>#REF!</f>
        <v>#REF!</v>
      </c>
      <c r="F34" s="655" t="e">
        <f>#REF!</f>
        <v>#REF!</v>
      </c>
      <c r="G34" s="661" t="e">
        <f>F34-P34</f>
        <v>#REF!</v>
      </c>
      <c r="H34" s="338" t="e">
        <f>G34-K34-L34-M34-N34-O34</f>
        <v>#REF!</v>
      </c>
      <c r="I34" s="273">
        <v>0</v>
      </c>
      <c r="J34" s="274" t="e">
        <f>H34-I34</f>
        <v>#REF!</v>
      </c>
      <c r="K34" s="275">
        <v>0</v>
      </c>
      <c r="L34" s="275">
        <v>0</v>
      </c>
      <c r="M34" s="274">
        <v>0</v>
      </c>
      <c r="N34" s="274">
        <v>0</v>
      </c>
      <c r="O34" s="330">
        <v>0</v>
      </c>
      <c r="P34" s="666">
        <v>0</v>
      </c>
      <c r="Q34" s="334" t="e">
        <f t="shared" si="0"/>
        <v>#REF!</v>
      </c>
    </row>
    <row r="35" spans="1:17" s="60" customFormat="1" ht="12.75">
      <c r="A35" s="1329" t="s">
        <v>655</v>
      </c>
      <c r="B35" s="1329"/>
      <c r="C35" s="1329"/>
      <c r="D35" s="1329"/>
      <c r="E35" s="284" t="e">
        <f aca="true" t="shared" si="10" ref="E35:P35">SUM(E33:E34)</f>
        <v>#REF!</v>
      </c>
      <c r="F35" s="289" t="e">
        <f t="shared" si="10"/>
        <v>#REF!</v>
      </c>
      <c r="G35" s="662" t="e">
        <f t="shared" si="10"/>
        <v>#REF!</v>
      </c>
      <c r="H35" s="286" t="e">
        <f t="shared" si="10"/>
        <v>#REF!</v>
      </c>
      <c r="I35" s="253" t="e">
        <f t="shared" si="10"/>
        <v>#REF!</v>
      </c>
      <c r="J35" s="253" t="e">
        <f t="shared" si="10"/>
        <v>#REF!</v>
      </c>
      <c r="K35" s="253">
        <f t="shared" si="10"/>
        <v>0</v>
      </c>
      <c r="L35" s="253">
        <f t="shared" si="10"/>
        <v>0</v>
      </c>
      <c r="M35" s="253">
        <f t="shared" si="10"/>
        <v>0</v>
      </c>
      <c r="N35" s="253">
        <f t="shared" si="10"/>
        <v>0</v>
      </c>
      <c r="O35" s="331">
        <f t="shared" si="10"/>
        <v>0</v>
      </c>
      <c r="P35" s="289" t="e">
        <f t="shared" si="10"/>
        <v>#REF!</v>
      </c>
      <c r="Q35" s="335" t="e">
        <f t="shared" si="0"/>
        <v>#REF!</v>
      </c>
    </row>
    <row r="36" spans="1:17" s="60" customFormat="1" ht="12.75" customHeight="1">
      <c r="A36" s="1324" t="s">
        <v>656</v>
      </c>
      <c r="B36" s="272">
        <v>851</v>
      </c>
      <c r="C36" s="272">
        <v>85153</v>
      </c>
      <c r="D36" s="229" t="s">
        <v>633</v>
      </c>
      <c r="E36" s="283" t="e">
        <f>#REF!</f>
        <v>#REF!</v>
      </c>
      <c r="F36" s="655" t="e">
        <f>#REF!</f>
        <v>#REF!</v>
      </c>
      <c r="G36" s="661" t="e">
        <f aca="true" t="shared" si="11" ref="G36:G45">F36-P36</f>
        <v>#REF!</v>
      </c>
      <c r="H36" s="338" t="e">
        <f aca="true" t="shared" si="12" ref="H36:H45">G36-K36-L36-M36-N36-O36</f>
        <v>#REF!</v>
      </c>
      <c r="I36" s="273">
        <v>0</v>
      </c>
      <c r="J36" s="274" t="e">
        <f aca="true" t="shared" si="13" ref="J36:J45">H36-I36</f>
        <v>#REF!</v>
      </c>
      <c r="K36" s="275">
        <v>0</v>
      </c>
      <c r="L36" s="275">
        <v>0</v>
      </c>
      <c r="M36" s="274">
        <v>0</v>
      </c>
      <c r="N36" s="274">
        <v>0</v>
      </c>
      <c r="O36" s="330">
        <v>0</v>
      </c>
      <c r="P36" s="666">
        <v>0</v>
      </c>
      <c r="Q36" s="334" t="e">
        <f t="shared" si="0"/>
        <v>#REF!</v>
      </c>
    </row>
    <row r="37" spans="1:17" s="60" customFormat="1" ht="25.5">
      <c r="A37" s="1325"/>
      <c r="B37" s="272">
        <v>851</v>
      </c>
      <c r="C37" s="272">
        <v>85154</v>
      </c>
      <c r="D37" s="229" t="s">
        <v>114</v>
      </c>
      <c r="E37" s="283" t="e">
        <f>#REF!</f>
        <v>#REF!</v>
      </c>
      <c r="F37" s="655" t="e">
        <f>#REF!</f>
        <v>#REF!</v>
      </c>
      <c r="G37" s="661" t="e">
        <f t="shared" si="11"/>
        <v>#REF!</v>
      </c>
      <c r="H37" s="338" t="e">
        <f t="shared" si="12"/>
        <v>#REF!</v>
      </c>
      <c r="I37" s="273">
        <v>0</v>
      </c>
      <c r="J37" s="274" t="e">
        <f t="shared" si="13"/>
        <v>#REF!</v>
      </c>
      <c r="K37" s="275">
        <v>0</v>
      </c>
      <c r="L37" s="275">
        <v>0</v>
      </c>
      <c r="M37" s="274">
        <v>0</v>
      </c>
      <c r="N37" s="274">
        <v>0</v>
      </c>
      <c r="O37" s="330">
        <v>0</v>
      </c>
      <c r="P37" s="666">
        <v>0</v>
      </c>
      <c r="Q37" s="334" t="e">
        <f t="shared" si="0"/>
        <v>#REF!</v>
      </c>
    </row>
    <row r="38" spans="1:17" s="60" customFormat="1" ht="76.5">
      <c r="A38" s="1325"/>
      <c r="B38" s="272">
        <v>852</v>
      </c>
      <c r="C38" s="272">
        <v>85212</v>
      </c>
      <c r="D38" s="229" t="s">
        <v>482</v>
      </c>
      <c r="E38" s="283" t="e">
        <f>#REF!</f>
        <v>#REF!</v>
      </c>
      <c r="F38" s="655" t="e">
        <f>#REF!</f>
        <v>#REF!</v>
      </c>
      <c r="G38" s="661" t="e">
        <f t="shared" si="11"/>
        <v>#REF!</v>
      </c>
      <c r="H38" s="338" t="e">
        <f t="shared" si="12"/>
        <v>#REF!</v>
      </c>
      <c r="I38" s="273" t="e">
        <f>#REF!+#REF!+#REF!+#REF!+#REF!</f>
        <v>#REF!</v>
      </c>
      <c r="J38" s="274" t="e">
        <f t="shared" si="13"/>
        <v>#REF!</v>
      </c>
      <c r="K38" s="275">
        <v>0</v>
      </c>
      <c r="L38" s="275" t="e">
        <f>#REF!</f>
        <v>#REF!</v>
      </c>
      <c r="M38" s="274">
        <v>0</v>
      </c>
      <c r="N38" s="274">
        <v>0</v>
      </c>
      <c r="O38" s="330">
        <v>0</v>
      </c>
      <c r="P38" s="666">
        <v>0</v>
      </c>
      <c r="Q38" s="334" t="e">
        <f t="shared" si="0"/>
        <v>#REF!</v>
      </c>
    </row>
    <row r="39" spans="1:17" s="60" customFormat="1" ht="114.75">
      <c r="A39" s="1325"/>
      <c r="B39" s="272">
        <v>852</v>
      </c>
      <c r="C39" s="272">
        <v>85213</v>
      </c>
      <c r="D39" s="229" t="s">
        <v>116</v>
      </c>
      <c r="E39" s="283" t="e">
        <f>#REF!</f>
        <v>#REF!</v>
      </c>
      <c r="F39" s="655" t="e">
        <f>#REF!</f>
        <v>#REF!</v>
      </c>
      <c r="G39" s="661" t="e">
        <f t="shared" si="11"/>
        <v>#REF!</v>
      </c>
      <c r="H39" s="338" t="e">
        <f t="shared" si="12"/>
        <v>#REF!</v>
      </c>
      <c r="I39" s="273" t="e">
        <f>#REF!+#REF!</f>
        <v>#REF!</v>
      </c>
      <c r="J39" s="274" t="e">
        <f t="shared" si="13"/>
        <v>#REF!</v>
      </c>
      <c r="K39" s="275">
        <v>0</v>
      </c>
      <c r="L39" s="275">
        <v>0</v>
      </c>
      <c r="M39" s="274">
        <v>0</v>
      </c>
      <c r="N39" s="274">
        <v>0</v>
      </c>
      <c r="O39" s="330">
        <v>0</v>
      </c>
      <c r="P39" s="666">
        <v>0</v>
      </c>
      <c r="Q39" s="334" t="e">
        <f t="shared" si="0"/>
        <v>#REF!</v>
      </c>
    </row>
    <row r="40" spans="1:17" s="60" customFormat="1" ht="38.25" customHeight="1">
      <c r="A40" s="1325"/>
      <c r="B40" s="272">
        <v>852</v>
      </c>
      <c r="C40" s="272">
        <v>85214</v>
      </c>
      <c r="D40" s="229" t="s">
        <v>117</v>
      </c>
      <c r="E40" s="283" t="e">
        <f>#REF!</f>
        <v>#REF!</v>
      </c>
      <c r="F40" s="655" t="e">
        <f>#REF!</f>
        <v>#REF!</v>
      </c>
      <c r="G40" s="661" t="e">
        <f t="shared" si="11"/>
        <v>#REF!</v>
      </c>
      <c r="H40" s="338" t="e">
        <f t="shared" si="12"/>
        <v>#REF!</v>
      </c>
      <c r="I40" s="273" t="e">
        <f>#REF!</f>
        <v>#REF!</v>
      </c>
      <c r="J40" s="274" t="e">
        <f t="shared" si="13"/>
        <v>#REF!</v>
      </c>
      <c r="K40" s="275">
        <v>0</v>
      </c>
      <c r="L40" s="275" t="e">
        <f>#REF!+#REF!</f>
        <v>#REF!</v>
      </c>
      <c r="M40" s="274">
        <v>0</v>
      </c>
      <c r="N40" s="274">
        <v>0</v>
      </c>
      <c r="O40" s="330">
        <v>0</v>
      </c>
      <c r="P40" s="666">
        <v>0</v>
      </c>
      <c r="Q40" s="334" t="e">
        <f t="shared" si="0"/>
        <v>#REF!</v>
      </c>
    </row>
    <row r="41" spans="1:17" s="60" customFormat="1" ht="12.75">
      <c r="A41" s="1325"/>
      <c r="B41" s="272">
        <v>852</v>
      </c>
      <c r="C41" s="272">
        <v>85215</v>
      </c>
      <c r="D41" s="229" t="s">
        <v>634</v>
      </c>
      <c r="E41" s="283" t="e">
        <f>#REF!</f>
        <v>#REF!</v>
      </c>
      <c r="F41" s="655" t="e">
        <f>#REF!</f>
        <v>#REF!</v>
      </c>
      <c r="G41" s="661" t="e">
        <f t="shared" si="11"/>
        <v>#REF!</v>
      </c>
      <c r="H41" s="338" t="e">
        <f t="shared" si="12"/>
        <v>#REF!</v>
      </c>
      <c r="I41" s="273">
        <v>0</v>
      </c>
      <c r="J41" s="274" t="e">
        <f t="shared" si="13"/>
        <v>#REF!</v>
      </c>
      <c r="K41" s="275">
        <v>0</v>
      </c>
      <c r="L41" s="275" t="e">
        <f>#REF!</f>
        <v>#REF!</v>
      </c>
      <c r="M41" s="274">
        <v>0</v>
      </c>
      <c r="N41" s="274">
        <v>0</v>
      </c>
      <c r="O41" s="330">
        <v>0</v>
      </c>
      <c r="P41" s="666">
        <v>0</v>
      </c>
      <c r="Q41" s="334" t="e">
        <f t="shared" si="0"/>
        <v>#REF!</v>
      </c>
    </row>
    <row r="42" spans="1:17" s="60" customFormat="1" ht="12.75">
      <c r="A42" s="1325"/>
      <c r="B42" s="272">
        <v>852</v>
      </c>
      <c r="C42" s="272">
        <v>85216</v>
      </c>
      <c r="D42" s="229" t="s">
        <v>480</v>
      </c>
      <c r="E42" s="283" t="e">
        <f>#REF!</f>
        <v>#REF!</v>
      </c>
      <c r="F42" s="655" t="e">
        <f>#REF!</f>
        <v>#REF!</v>
      </c>
      <c r="G42" s="661" t="e">
        <f t="shared" si="11"/>
        <v>#REF!</v>
      </c>
      <c r="H42" s="338" t="e">
        <f t="shared" si="12"/>
        <v>#REF!</v>
      </c>
      <c r="I42" s="273">
        <v>0</v>
      </c>
      <c r="J42" s="274" t="e">
        <f t="shared" si="13"/>
        <v>#REF!</v>
      </c>
      <c r="K42" s="275">
        <v>0</v>
      </c>
      <c r="L42" s="275" t="e">
        <f>#REF!</f>
        <v>#REF!</v>
      </c>
      <c r="M42" s="274">
        <v>0</v>
      </c>
      <c r="N42" s="274">
        <v>0</v>
      </c>
      <c r="O42" s="330">
        <v>0</v>
      </c>
      <c r="P42" s="666">
        <v>0</v>
      </c>
      <c r="Q42" s="334" t="e">
        <f t="shared" si="0"/>
        <v>#REF!</v>
      </c>
    </row>
    <row r="43" spans="1:17" s="60" customFormat="1" ht="12.75">
      <c r="A43" s="1325"/>
      <c r="B43" s="272">
        <v>852</v>
      </c>
      <c r="C43" s="272">
        <v>85219</v>
      </c>
      <c r="D43" s="229" t="s">
        <v>118</v>
      </c>
      <c r="E43" s="283" t="e">
        <f>#REF!</f>
        <v>#REF!</v>
      </c>
      <c r="F43" s="655" t="e">
        <f>#REF!</f>
        <v>#REF!</v>
      </c>
      <c r="G43" s="661" t="e">
        <f t="shared" si="11"/>
        <v>#REF!</v>
      </c>
      <c r="H43" s="338" t="e">
        <f t="shared" si="12"/>
        <v>#REF!</v>
      </c>
      <c r="I43" s="273" t="e">
        <f>#REF!+#REF!+#REF!+#REF!+#REF!+#REF!</f>
        <v>#REF!</v>
      </c>
      <c r="J43" s="274" t="e">
        <f t="shared" si="13"/>
        <v>#REF!</v>
      </c>
      <c r="K43" s="275">
        <v>0</v>
      </c>
      <c r="L43" s="275" t="e">
        <f>#REF!</f>
        <v>#REF!</v>
      </c>
      <c r="M43" s="274">
        <v>0</v>
      </c>
      <c r="N43" s="274">
        <v>0</v>
      </c>
      <c r="O43" s="330">
        <v>0</v>
      </c>
      <c r="P43" s="666">
        <v>0</v>
      </c>
      <c r="Q43" s="334" t="e">
        <f t="shared" si="0"/>
        <v>#REF!</v>
      </c>
    </row>
    <row r="44" spans="1:17" s="60" customFormat="1" ht="38.25">
      <c r="A44" s="1325"/>
      <c r="B44" s="272">
        <v>852</v>
      </c>
      <c r="C44" s="272">
        <v>85228</v>
      </c>
      <c r="D44" s="229" t="s">
        <v>119</v>
      </c>
      <c r="E44" s="283" t="e">
        <f>#REF!</f>
        <v>#REF!</v>
      </c>
      <c r="F44" s="655" t="e">
        <f>#REF!</f>
        <v>#REF!</v>
      </c>
      <c r="G44" s="661" t="e">
        <f t="shared" si="11"/>
        <v>#REF!</v>
      </c>
      <c r="H44" s="338" t="e">
        <f t="shared" si="12"/>
        <v>#REF!</v>
      </c>
      <c r="I44" s="273">
        <v>0</v>
      </c>
      <c r="J44" s="274" t="e">
        <f t="shared" si="13"/>
        <v>#REF!</v>
      </c>
      <c r="K44" s="275">
        <v>0</v>
      </c>
      <c r="L44" s="275">
        <v>0</v>
      </c>
      <c r="M44" s="274">
        <v>0</v>
      </c>
      <c r="N44" s="274">
        <v>0</v>
      </c>
      <c r="O44" s="330">
        <v>0</v>
      </c>
      <c r="P44" s="666">
        <v>0</v>
      </c>
      <c r="Q44" s="334" t="e">
        <f t="shared" si="0"/>
        <v>#REF!</v>
      </c>
    </row>
    <row r="45" spans="1:17" s="60" customFormat="1" ht="14.25" customHeight="1">
      <c r="A45" s="1325"/>
      <c r="B45" s="272">
        <v>852</v>
      </c>
      <c r="C45" s="272">
        <v>85295</v>
      </c>
      <c r="D45" s="229" t="s">
        <v>51</v>
      </c>
      <c r="E45" s="283" t="e">
        <f>#REF!</f>
        <v>#REF!</v>
      </c>
      <c r="F45" s="655" t="e">
        <f>#REF!</f>
        <v>#REF!</v>
      </c>
      <c r="G45" s="661" t="e">
        <f t="shared" si="11"/>
        <v>#REF!</v>
      </c>
      <c r="H45" s="338" t="e">
        <f t="shared" si="12"/>
        <v>#REF!</v>
      </c>
      <c r="I45" s="273">
        <v>0</v>
      </c>
      <c r="J45" s="274" t="e">
        <f t="shared" si="13"/>
        <v>#REF!</v>
      </c>
      <c r="K45" s="275">
        <v>0</v>
      </c>
      <c r="L45" s="275" t="e">
        <f>#REF!+#REF!+#REF!</f>
        <v>#REF!</v>
      </c>
      <c r="M45" s="274">
        <v>0</v>
      </c>
      <c r="N45" s="274">
        <v>0</v>
      </c>
      <c r="O45" s="330">
        <v>0</v>
      </c>
      <c r="P45" s="666">
        <v>0</v>
      </c>
      <c r="Q45" s="334" t="e">
        <f t="shared" si="0"/>
        <v>#REF!</v>
      </c>
    </row>
    <row r="46" spans="1:17" s="60" customFormat="1" ht="14.25" customHeight="1">
      <c r="A46" s="1325"/>
      <c r="B46" s="272">
        <v>853</v>
      </c>
      <c r="C46" s="272">
        <v>85395</v>
      </c>
      <c r="D46" s="229" t="s">
        <v>51</v>
      </c>
      <c r="E46" s="283" t="e">
        <f>#REF!</f>
        <v>#REF!</v>
      </c>
      <c r="F46" s="655" t="e">
        <f>#REF!</f>
        <v>#REF!</v>
      </c>
      <c r="G46" s="661" t="e">
        <f>F46-P46</f>
        <v>#REF!</v>
      </c>
      <c r="H46" s="338" t="e">
        <f>G46-K46-L46-M46-N46-O46</f>
        <v>#REF!</v>
      </c>
      <c r="I46" s="273">
        <v>0</v>
      </c>
      <c r="J46" s="274" t="e">
        <f>H46-I46</f>
        <v>#REF!</v>
      </c>
      <c r="K46" s="275">
        <v>0</v>
      </c>
      <c r="L46" s="275">
        <v>0</v>
      </c>
      <c r="M46" s="274">
        <v>0</v>
      </c>
      <c r="N46" s="274">
        <v>0</v>
      </c>
      <c r="O46" s="330">
        <v>0</v>
      </c>
      <c r="P46" s="666">
        <v>0</v>
      </c>
      <c r="Q46" s="334" t="e">
        <f>F46/E46</f>
        <v>#REF!</v>
      </c>
    </row>
    <row r="47" spans="1:17" s="60" customFormat="1" ht="25.5">
      <c r="A47" s="1326"/>
      <c r="B47" s="272">
        <v>854</v>
      </c>
      <c r="C47" s="272">
        <v>85415</v>
      </c>
      <c r="D47" s="229" t="s">
        <v>120</v>
      </c>
      <c r="E47" s="283" t="e">
        <f>#REF!</f>
        <v>#REF!</v>
      </c>
      <c r="F47" s="655" t="e">
        <f>#REF!</f>
        <v>#REF!</v>
      </c>
      <c r="G47" s="661" t="e">
        <f>F47-P47</f>
        <v>#REF!</v>
      </c>
      <c r="H47" s="338" t="e">
        <f>G47-K47-L47-M47-N47-O47</f>
        <v>#REF!</v>
      </c>
      <c r="I47" s="273">
        <v>0</v>
      </c>
      <c r="J47" s="274" t="e">
        <f>H47-I47</f>
        <v>#REF!</v>
      </c>
      <c r="K47" s="275">
        <v>0</v>
      </c>
      <c r="L47" s="275" t="e">
        <f>#REF!+#REF!+#REF!</f>
        <v>#REF!</v>
      </c>
      <c r="M47" s="274">
        <v>0</v>
      </c>
      <c r="N47" s="274">
        <v>0</v>
      </c>
      <c r="O47" s="330">
        <v>0</v>
      </c>
      <c r="P47" s="666">
        <v>0</v>
      </c>
      <c r="Q47" s="334" t="e">
        <f>F47/E47</f>
        <v>#REF!</v>
      </c>
    </row>
    <row r="48" spans="1:17" s="60" customFormat="1" ht="12.75">
      <c r="A48" s="1329" t="s">
        <v>657</v>
      </c>
      <c r="B48" s="1329"/>
      <c r="C48" s="1329"/>
      <c r="D48" s="1329"/>
      <c r="E48" s="284" t="e">
        <f>SUM(E36:E47)</f>
        <v>#REF!</v>
      </c>
      <c r="F48" s="331" t="e">
        <f aca="true" t="shared" si="14" ref="F48:P48">SUM(F36:F47)</f>
        <v>#REF!</v>
      </c>
      <c r="G48" s="663" t="e">
        <f t="shared" si="14"/>
        <v>#REF!</v>
      </c>
      <c r="H48" s="331" t="e">
        <f t="shared" si="14"/>
        <v>#REF!</v>
      </c>
      <c r="I48" s="331" t="e">
        <f t="shared" si="14"/>
        <v>#REF!</v>
      </c>
      <c r="J48" s="331" t="e">
        <f t="shared" si="14"/>
        <v>#REF!</v>
      </c>
      <c r="K48" s="331">
        <f t="shared" si="14"/>
        <v>0</v>
      </c>
      <c r="L48" s="331" t="e">
        <f t="shared" si="14"/>
        <v>#REF!</v>
      </c>
      <c r="M48" s="331">
        <f t="shared" si="14"/>
        <v>0</v>
      </c>
      <c r="N48" s="331">
        <f t="shared" si="14"/>
        <v>0</v>
      </c>
      <c r="O48" s="331">
        <f t="shared" si="14"/>
        <v>0</v>
      </c>
      <c r="P48" s="289">
        <f t="shared" si="14"/>
        <v>0</v>
      </c>
      <c r="Q48" s="335" t="e">
        <f t="shared" si="0"/>
        <v>#REF!</v>
      </c>
    </row>
    <row r="49" spans="1:17" s="60" customFormat="1" ht="12.75" customHeight="1">
      <c r="A49" s="1328" t="s">
        <v>658</v>
      </c>
      <c r="B49" s="276" t="s">
        <v>699</v>
      </c>
      <c r="C49" s="276" t="s">
        <v>700</v>
      </c>
      <c r="D49" s="229" t="s">
        <v>701</v>
      </c>
      <c r="E49" s="283">
        <f>UM!E9</f>
        <v>179</v>
      </c>
      <c r="F49" s="655">
        <f>UM!G9</f>
        <v>179</v>
      </c>
      <c r="G49" s="661">
        <f aca="true" t="shared" si="15" ref="G49:G102">F49-P49</f>
        <v>179</v>
      </c>
      <c r="H49" s="338">
        <f aca="true" t="shared" si="16" ref="H49:H102">G49-K49-L49-M49-N49-O49</f>
        <v>179</v>
      </c>
      <c r="I49" s="273">
        <v>0</v>
      </c>
      <c r="J49" s="274">
        <f aca="true" t="shared" si="17" ref="J49:J102">H49-I49</f>
        <v>179</v>
      </c>
      <c r="K49" s="275">
        <v>0</v>
      </c>
      <c r="L49" s="275">
        <v>0</v>
      </c>
      <c r="M49" s="274">
        <v>0</v>
      </c>
      <c r="N49" s="274">
        <v>0</v>
      </c>
      <c r="O49" s="330">
        <v>0</v>
      </c>
      <c r="P49" s="666">
        <v>0</v>
      </c>
      <c r="Q49" s="334">
        <f t="shared" si="0"/>
        <v>1</v>
      </c>
    </row>
    <row r="50" spans="1:17" s="60" customFormat="1" ht="12.75">
      <c r="A50" s="1328"/>
      <c r="B50" s="276" t="s">
        <v>617</v>
      </c>
      <c r="C50" s="276" t="s">
        <v>618</v>
      </c>
      <c r="D50" s="229" t="s">
        <v>619</v>
      </c>
      <c r="E50" s="283">
        <f>UM!E11</f>
        <v>6765</v>
      </c>
      <c r="F50" s="655">
        <f>UM!G11</f>
        <v>14670</v>
      </c>
      <c r="G50" s="661">
        <f t="shared" si="15"/>
        <v>0</v>
      </c>
      <c r="H50" s="338">
        <f t="shared" si="16"/>
        <v>0</v>
      </c>
      <c r="I50" s="273">
        <v>0</v>
      </c>
      <c r="J50" s="274">
        <f t="shared" si="17"/>
        <v>0</v>
      </c>
      <c r="K50" s="275">
        <v>0</v>
      </c>
      <c r="L50" s="275">
        <v>0</v>
      </c>
      <c r="M50" s="274">
        <v>0</v>
      </c>
      <c r="N50" s="274">
        <v>0</v>
      </c>
      <c r="O50" s="330">
        <v>0</v>
      </c>
      <c r="P50" s="666">
        <f>UM!G10</f>
        <v>14670</v>
      </c>
      <c r="Q50" s="334">
        <f t="shared" si="0"/>
        <v>2.1685144124168514</v>
      </c>
    </row>
    <row r="51" spans="1:17" s="60" customFormat="1" ht="12.75">
      <c r="A51" s="1328"/>
      <c r="B51" s="272">
        <v>400</v>
      </c>
      <c r="C51" s="272">
        <v>40002</v>
      </c>
      <c r="D51" s="229" t="s">
        <v>423</v>
      </c>
      <c r="E51" s="283">
        <f>UM!E14</f>
        <v>650000</v>
      </c>
      <c r="F51" s="655">
        <f>UM!G14</f>
        <v>350000</v>
      </c>
      <c r="G51" s="661">
        <f t="shared" si="15"/>
        <v>0</v>
      </c>
      <c r="H51" s="338">
        <f t="shared" si="16"/>
        <v>0</v>
      </c>
      <c r="I51" s="273">
        <v>0</v>
      </c>
      <c r="J51" s="274">
        <f t="shared" si="17"/>
        <v>0</v>
      </c>
      <c r="K51" s="275">
        <v>0</v>
      </c>
      <c r="L51" s="275">
        <v>0</v>
      </c>
      <c r="M51" s="274">
        <v>0</v>
      </c>
      <c r="N51" s="274">
        <v>0</v>
      </c>
      <c r="O51" s="330">
        <v>0</v>
      </c>
      <c r="P51" s="666">
        <f>UM!G13</f>
        <v>350000</v>
      </c>
      <c r="Q51" s="334">
        <f t="shared" si="0"/>
        <v>0.5384615384615384</v>
      </c>
    </row>
    <row r="52" spans="1:17" s="60" customFormat="1" ht="12.75">
      <c r="A52" s="1328"/>
      <c r="B52" s="272">
        <v>600</v>
      </c>
      <c r="C52" s="272">
        <v>60004</v>
      </c>
      <c r="D52" s="229" t="s">
        <v>190</v>
      </c>
      <c r="E52" s="283">
        <f>UM!E18</f>
        <v>658000</v>
      </c>
      <c r="F52" s="655">
        <f>UM!G18</f>
        <v>652328</v>
      </c>
      <c r="G52" s="661">
        <f t="shared" si="15"/>
        <v>652328</v>
      </c>
      <c r="H52" s="338">
        <f t="shared" si="16"/>
        <v>652328</v>
      </c>
      <c r="I52" s="273">
        <v>0</v>
      </c>
      <c r="J52" s="274">
        <f t="shared" si="17"/>
        <v>652328</v>
      </c>
      <c r="K52" s="275">
        <v>0</v>
      </c>
      <c r="L52" s="275">
        <v>0</v>
      </c>
      <c r="M52" s="274">
        <v>0</v>
      </c>
      <c r="N52" s="274">
        <v>0</v>
      </c>
      <c r="O52" s="330">
        <v>0</v>
      </c>
      <c r="P52" s="666">
        <v>0</v>
      </c>
      <c r="Q52" s="334">
        <f t="shared" si="0"/>
        <v>0.9913799392097264</v>
      </c>
    </row>
    <row r="53" spans="1:17" s="60" customFormat="1" ht="12.75">
      <c r="A53" s="1328"/>
      <c r="B53" s="272">
        <v>600</v>
      </c>
      <c r="C53" s="272">
        <v>60014</v>
      </c>
      <c r="D53" s="229" t="s">
        <v>191</v>
      </c>
      <c r="E53" s="283">
        <f>UM!E23</f>
        <v>840000</v>
      </c>
      <c r="F53" s="655">
        <f>UM!G23</f>
        <v>70000</v>
      </c>
      <c r="G53" s="661">
        <f t="shared" si="15"/>
        <v>70000</v>
      </c>
      <c r="H53" s="338">
        <f t="shared" si="16"/>
        <v>70000</v>
      </c>
      <c r="I53" s="273">
        <v>0</v>
      </c>
      <c r="J53" s="274">
        <f t="shared" si="17"/>
        <v>70000</v>
      </c>
      <c r="K53" s="347">
        <v>0</v>
      </c>
      <c r="L53" s="275">
        <v>0</v>
      </c>
      <c r="M53" s="274">
        <v>0</v>
      </c>
      <c r="N53" s="274">
        <v>0</v>
      </c>
      <c r="O53" s="330">
        <v>0</v>
      </c>
      <c r="P53" s="666">
        <f>UM!G20+UM!G21+UM!G22</f>
        <v>0</v>
      </c>
      <c r="Q53" s="334">
        <f t="shared" si="0"/>
        <v>0.08333333333333333</v>
      </c>
    </row>
    <row r="54" spans="1:17" s="60" customFormat="1" ht="12.75">
      <c r="A54" s="1328"/>
      <c r="B54" s="272">
        <v>600</v>
      </c>
      <c r="C54" s="272">
        <v>60016</v>
      </c>
      <c r="D54" s="229" t="s">
        <v>192</v>
      </c>
      <c r="E54" s="283">
        <f>UM!E32</f>
        <v>1764950</v>
      </c>
      <c r="F54" s="655">
        <f>UM!G32</f>
        <v>1810000</v>
      </c>
      <c r="G54" s="661">
        <f t="shared" si="15"/>
        <v>1260000</v>
      </c>
      <c r="H54" s="338">
        <f t="shared" si="16"/>
        <v>1260000</v>
      </c>
      <c r="I54" s="273">
        <v>0</v>
      </c>
      <c r="J54" s="274">
        <f t="shared" si="17"/>
        <v>1260000</v>
      </c>
      <c r="K54" s="275">
        <v>0</v>
      </c>
      <c r="L54" s="275">
        <v>0</v>
      </c>
      <c r="M54" s="274">
        <v>0</v>
      </c>
      <c r="N54" s="274">
        <v>0</v>
      </c>
      <c r="O54" s="330">
        <v>0</v>
      </c>
      <c r="P54" s="666">
        <f>UM!G27+UM!G28+UM!G29+UM!G30+UM!G31</f>
        <v>550000</v>
      </c>
      <c r="Q54" s="334">
        <f t="shared" si="0"/>
        <v>1.0255248024023342</v>
      </c>
    </row>
    <row r="55" spans="1:17" s="60" customFormat="1" ht="25.5">
      <c r="A55" s="1328"/>
      <c r="B55" s="272">
        <v>700</v>
      </c>
      <c r="C55" s="272">
        <v>70004</v>
      </c>
      <c r="D55" s="229" t="s">
        <v>884</v>
      </c>
      <c r="E55" s="283">
        <f>UM!E44</f>
        <v>742050</v>
      </c>
      <c r="F55" s="655">
        <f>UM!G44</f>
        <v>486300</v>
      </c>
      <c r="G55" s="661">
        <f t="shared" si="15"/>
        <v>486300</v>
      </c>
      <c r="H55" s="338">
        <f t="shared" si="16"/>
        <v>486300</v>
      </c>
      <c r="I55" s="273">
        <f>UM!G34</f>
        <v>8000</v>
      </c>
      <c r="J55" s="274">
        <f t="shared" si="17"/>
        <v>478300</v>
      </c>
      <c r="K55" s="275">
        <v>0</v>
      </c>
      <c r="L55" s="275">
        <v>0</v>
      </c>
      <c r="M55" s="274">
        <v>0</v>
      </c>
      <c r="N55" s="274">
        <v>0</v>
      </c>
      <c r="O55" s="330">
        <v>0</v>
      </c>
      <c r="P55" s="666">
        <f>UM!G42+UM!G43</f>
        <v>0</v>
      </c>
      <c r="Q55" s="334">
        <f t="shared" si="0"/>
        <v>0.6553466747523752</v>
      </c>
    </row>
    <row r="56" spans="1:17" s="60" customFormat="1" ht="25.5">
      <c r="A56" s="1328"/>
      <c r="B56" s="272">
        <v>700</v>
      </c>
      <c r="C56" s="272">
        <v>70005</v>
      </c>
      <c r="D56" s="229" t="s">
        <v>887</v>
      </c>
      <c r="E56" s="283">
        <f>UM!E63</f>
        <v>2977144</v>
      </c>
      <c r="F56" s="655">
        <f>UM!G63</f>
        <v>1730000</v>
      </c>
      <c r="G56" s="661">
        <f t="shared" si="15"/>
        <v>1310000</v>
      </c>
      <c r="H56" s="338">
        <f t="shared" si="16"/>
        <v>1310000</v>
      </c>
      <c r="I56" s="273">
        <f>UM!G45</f>
        <v>0</v>
      </c>
      <c r="J56" s="274">
        <f t="shared" si="17"/>
        <v>1310000</v>
      </c>
      <c r="K56" s="275">
        <v>0</v>
      </c>
      <c r="L56" s="275">
        <v>0</v>
      </c>
      <c r="M56" s="274">
        <v>0</v>
      </c>
      <c r="N56" s="274">
        <v>0</v>
      </c>
      <c r="O56" s="330">
        <v>0</v>
      </c>
      <c r="P56" s="666">
        <f>UM!G55+UM!G56+UM!G57+UM!G58+UM!G59+UM!G60+UM!G61+UM!G62</f>
        <v>420000</v>
      </c>
      <c r="Q56" s="334">
        <f t="shared" si="0"/>
        <v>0.5810938268353831</v>
      </c>
    </row>
    <row r="57" spans="1:17" s="60" customFormat="1" ht="25.5">
      <c r="A57" s="1328"/>
      <c r="B57" s="272">
        <v>710</v>
      </c>
      <c r="C57" s="272">
        <v>71004</v>
      </c>
      <c r="D57" s="229" t="s">
        <v>588</v>
      </c>
      <c r="E57" s="283">
        <f>UM!E67</f>
        <v>65900</v>
      </c>
      <c r="F57" s="655">
        <f>UM!G67</f>
        <v>155000</v>
      </c>
      <c r="G57" s="661">
        <f t="shared" si="15"/>
        <v>155000</v>
      </c>
      <c r="H57" s="338">
        <f t="shared" si="16"/>
        <v>155000</v>
      </c>
      <c r="I57" s="273">
        <f>UM!G65</f>
        <v>5000</v>
      </c>
      <c r="J57" s="274">
        <f t="shared" si="17"/>
        <v>150000</v>
      </c>
      <c r="K57" s="275">
        <v>0</v>
      </c>
      <c r="L57" s="275">
        <v>0</v>
      </c>
      <c r="M57" s="274">
        <v>0</v>
      </c>
      <c r="N57" s="274">
        <v>0</v>
      </c>
      <c r="O57" s="330">
        <v>0</v>
      </c>
      <c r="P57" s="666">
        <v>0</v>
      </c>
      <c r="Q57" s="334">
        <f t="shared" si="0"/>
        <v>2.3520485584218513</v>
      </c>
    </row>
    <row r="58" spans="1:17" s="60" customFormat="1" ht="25.5">
      <c r="A58" s="1328"/>
      <c r="B58" s="272">
        <v>710</v>
      </c>
      <c r="C58" s="272">
        <v>71014</v>
      </c>
      <c r="D58" s="229" t="s">
        <v>589</v>
      </c>
      <c r="E58" s="283">
        <f>UM!E70</f>
        <v>120000</v>
      </c>
      <c r="F58" s="655">
        <f>UM!G70</f>
        <v>100000</v>
      </c>
      <c r="G58" s="661">
        <f t="shared" si="15"/>
        <v>100000</v>
      </c>
      <c r="H58" s="338">
        <f t="shared" si="16"/>
        <v>100000</v>
      </c>
      <c r="I58" s="273">
        <v>0</v>
      </c>
      <c r="J58" s="274">
        <f t="shared" si="17"/>
        <v>100000</v>
      </c>
      <c r="K58" s="275">
        <v>0</v>
      </c>
      <c r="L58" s="275">
        <v>0</v>
      </c>
      <c r="M58" s="274">
        <v>0</v>
      </c>
      <c r="N58" s="274">
        <v>0</v>
      </c>
      <c r="O58" s="330">
        <v>0</v>
      </c>
      <c r="P58" s="666">
        <v>0</v>
      </c>
      <c r="Q58" s="334">
        <f t="shared" si="0"/>
        <v>0.8333333333333334</v>
      </c>
    </row>
    <row r="59" spans="1:17" s="60" customFormat="1" ht="12.75" customHeight="1">
      <c r="A59" s="1328"/>
      <c r="B59" s="272">
        <v>750</v>
      </c>
      <c r="C59" s="272">
        <v>75011</v>
      </c>
      <c r="D59" s="229" t="s">
        <v>892</v>
      </c>
      <c r="E59" s="283">
        <f>UM!E75</f>
        <v>107473</v>
      </c>
      <c r="F59" s="655">
        <f>UM!G75</f>
        <v>107473</v>
      </c>
      <c r="G59" s="661">
        <f t="shared" si="15"/>
        <v>107473</v>
      </c>
      <c r="H59" s="338">
        <f t="shared" si="16"/>
        <v>107473</v>
      </c>
      <c r="I59" s="273">
        <f>UM!G72+UM!G73+UM!G74</f>
        <v>107473</v>
      </c>
      <c r="J59" s="274">
        <f t="shared" si="17"/>
        <v>0</v>
      </c>
      <c r="K59" s="275">
        <v>0</v>
      </c>
      <c r="L59" s="275">
        <v>0</v>
      </c>
      <c r="M59" s="274">
        <v>0</v>
      </c>
      <c r="N59" s="274">
        <v>0</v>
      </c>
      <c r="O59" s="330">
        <v>0</v>
      </c>
      <c r="P59" s="666">
        <v>0</v>
      </c>
      <c r="Q59" s="334">
        <f t="shared" si="0"/>
        <v>1</v>
      </c>
    </row>
    <row r="60" spans="1:17" s="60" customFormat="1" ht="25.5">
      <c r="A60" s="1328"/>
      <c r="B60" s="272">
        <v>750</v>
      </c>
      <c r="C60" s="272">
        <v>75022</v>
      </c>
      <c r="D60" s="229" t="s">
        <v>590</v>
      </c>
      <c r="E60" s="283">
        <f>UM!E85</f>
        <v>174900</v>
      </c>
      <c r="F60" s="655">
        <f>UM!G85</f>
        <v>251200</v>
      </c>
      <c r="G60" s="661">
        <f t="shared" si="15"/>
        <v>251200</v>
      </c>
      <c r="H60" s="338">
        <f t="shared" si="16"/>
        <v>41200</v>
      </c>
      <c r="I60" s="273">
        <f>UM!G77</f>
        <v>30000</v>
      </c>
      <c r="J60" s="274">
        <f t="shared" si="17"/>
        <v>11200</v>
      </c>
      <c r="K60" s="275">
        <v>0</v>
      </c>
      <c r="L60" s="275">
        <f>UM!G76</f>
        <v>210000</v>
      </c>
      <c r="M60" s="274">
        <v>0</v>
      </c>
      <c r="N60" s="274">
        <v>0</v>
      </c>
      <c r="O60" s="330">
        <v>0</v>
      </c>
      <c r="P60" s="666">
        <v>0</v>
      </c>
      <c r="Q60" s="334">
        <f t="shared" si="0"/>
        <v>1.436249285305889</v>
      </c>
    </row>
    <row r="61" spans="1:17" s="60" customFormat="1" ht="25.5">
      <c r="A61" s="1328"/>
      <c r="B61" s="272">
        <v>750</v>
      </c>
      <c r="C61" s="272">
        <v>75023</v>
      </c>
      <c r="D61" s="229" t="s">
        <v>896</v>
      </c>
      <c r="E61" s="283">
        <f>UM!E121</f>
        <v>5779414</v>
      </c>
      <c r="F61" s="655">
        <f>UM!G121</f>
        <v>6028822</v>
      </c>
      <c r="G61" s="661">
        <f t="shared" si="15"/>
        <v>5808822</v>
      </c>
      <c r="H61" s="338">
        <f t="shared" si="16"/>
        <v>5808822</v>
      </c>
      <c r="I61" s="273">
        <f>UM!G86+UM!G87+UM!G88+UM!G89+UM!G91</f>
        <v>4845062</v>
      </c>
      <c r="J61" s="274">
        <f t="shared" si="17"/>
        <v>963760</v>
      </c>
      <c r="K61" s="275">
        <v>0</v>
      </c>
      <c r="L61" s="275">
        <v>0</v>
      </c>
      <c r="M61" s="274">
        <v>0</v>
      </c>
      <c r="N61" s="274">
        <v>0</v>
      </c>
      <c r="O61" s="330">
        <v>0</v>
      </c>
      <c r="P61" s="666">
        <f>UM!G116+UM!G117+UM!G118+UM!G119+UM!G120</f>
        <v>220000</v>
      </c>
      <c r="Q61" s="334">
        <f t="shared" si="0"/>
        <v>1.0431545481946785</v>
      </c>
    </row>
    <row r="62" spans="1:17" s="60" customFormat="1" ht="12.75">
      <c r="A62" s="1328"/>
      <c r="B62" s="272">
        <v>750</v>
      </c>
      <c r="C62" s="272">
        <v>75056</v>
      </c>
      <c r="D62" s="229" t="s">
        <v>205</v>
      </c>
      <c r="E62" s="283">
        <f>UM!E130</f>
        <v>9625</v>
      </c>
      <c r="F62" s="655">
        <f>UM!G130</f>
        <v>0</v>
      </c>
      <c r="G62" s="661">
        <f t="shared" si="15"/>
        <v>0</v>
      </c>
      <c r="H62" s="338">
        <f t="shared" si="16"/>
        <v>0</v>
      </c>
      <c r="I62" s="668">
        <f>UM!G123+UM!G124</f>
        <v>0</v>
      </c>
      <c r="J62" s="274">
        <f t="shared" si="17"/>
        <v>0</v>
      </c>
      <c r="K62" s="275">
        <v>0</v>
      </c>
      <c r="L62" s="275">
        <v>0</v>
      </c>
      <c r="M62" s="274">
        <v>0</v>
      </c>
      <c r="N62" s="274">
        <v>0</v>
      </c>
      <c r="O62" s="330">
        <v>0</v>
      </c>
      <c r="P62" s="666">
        <v>0</v>
      </c>
      <c r="Q62" s="334">
        <f t="shared" si="0"/>
        <v>0</v>
      </c>
    </row>
    <row r="63" spans="1:17" s="60" customFormat="1" ht="25.5">
      <c r="A63" s="1328"/>
      <c r="B63" s="272">
        <v>750</v>
      </c>
      <c r="C63" s="272">
        <v>75075</v>
      </c>
      <c r="D63" s="229" t="s">
        <v>621</v>
      </c>
      <c r="E63" s="283">
        <f>UM!E135</f>
        <v>202200</v>
      </c>
      <c r="F63" s="655">
        <f>UM!G135</f>
        <v>72500</v>
      </c>
      <c r="G63" s="661">
        <f t="shared" si="15"/>
        <v>72500</v>
      </c>
      <c r="H63" s="338">
        <f t="shared" si="16"/>
        <v>72500</v>
      </c>
      <c r="I63" s="273">
        <f>UM!G131</f>
        <v>0</v>
      </c>
      <c r="J63" s="274">
        <f t="shared" si="17"/>
        <v>72500</v>
      </c>
      <c r="K63" s="275">
        <v>0</v>
      </c>
      <c r="L63" s="275">
        <v>0</v>
      </c>
      <c r="M63" s="274">
        <v>0</v>
      </c>
      <c r="N63" s="274">
        <v>0</v>
      </c>
      <c r="O63" s="330">
        <v>0</v>
      </c>
      <c r="P63" s="666">
        <v>0</v>
      </c>
      <c r="Q63" s="334">
        <f t="shared" si="0"/>
        <v>0.35855588526211674</v>
      </c>
    </row>
    <row r="64" spans="1:17" s="60" customFormat="1" ht="12.75" customHeight="1">
      <c r="A64" s="1328"/>
      <c r="B64" s="272">
        <v>750</v>
      </c>
      <c r="C64" s="272">
        <v>75095</v>
      </c>
      <c r="D64" s="229" t="s">
        <v>51</v>
      </c>
      <c r="E64" s="283">
        <f>UM!E137</f>
        <v>4013</v>
      </c>
      <c r="F64" s="655">
        <f>UM!G137</f>
        <v>12604</v>
      </c>
      <c r="G64" s="661">
        <f t="shared" si="15"/>
        <v>0</v>
      </c>
      <c r="H64" s="338">
        <f t="shared" si="16"/>
        <v>0</v>
      </c>
      <c r="I64" s="273">
        <v>0</v>
      </c>
      <c r="J64" s="274">
        <f t="shared" si="17"/>
        <v>0</v>
      </c>
      <c r="K64" s="275">
        <v>0</v>
      </c>
      <c r="L64" s="275">
        <v>0</v>
      </c>
      <c r="M64" s="274">
        <v>0</v>
      </c>
      <c r="N64" s="274">
        <v>0</v>
      </c>
      <c r="O64" s="330">
        <v>0</v>
      </c>
      <c r="P64" s="666">
        <f>UM!G136</f>
        <v>12604</v>
      </c>
      <c r="Q64" s="334">
        <f t="shared" si="0"/>
        <v>3.140792424619985</v>
      </c>
    </row>
    <row r="65" spans="1:17" s="60" customFormat="1" ht="40.5" customHeight="1">
      <c r="A65" s="1328"/>
      <c r="B65" s="272">
        <v>751</v>
      </c>
      <c r="C65" s="272">
        <v>75101</v>
      </c>
      <c r="D65" s="229" t="s">
        <v>53</v>
      </c>
      <c r="E65" s="283">
        <f>UM!E144</f>
        <v>3021</v>
      </c>
      <c r="F65" s="655">
        <f>UM!G144</f>
        <v>3080</v>
      </c>
      <c r="G65" s="661">
        <f t="shared" si="15"/>
        <v>3080</v>
      </c>
      <c r="H65" s="338">
        <f t="shared" si="16"/>
        <v>3080</v>
      </c>
      <c r="I65" s="273">
        <f>UM!G139+UM!G140+UM!G141</f>
        <v>2119</v>
      </c>
      <c r="J65" s="274">
        <f t="shared" si="17"/>
        <v>961</v>
      </c>
      <c r="K65" s="275">
        <v>0</v>
      </c>
      <c r="L65" s="275">
        <v>0</v>
      </c>
      <c r="M65" s="274">
        <v>0</v>
      </c>
      <c r="N65" s="274">
        <v>0</v>
      </c>
      <c r="O65" s="330">
        <v>0</v>
      </c>
      <c r="P65" s="666">
        <v>0</v>
      </c>
      <c r="Q65" s="334">
        <f t="shared" si="0"/>
        <v>1.0195299569678915</v>
      </c>
    </row>
    <row r="66" spans="1:17" s="60" customFormat="1" ht="25.5">
      <c r="A66" s="1328"/>
      <c r="B66" s="272">
        <v>751</v>
      </c>
      <c r="C66" s="272">
        <v>75107</v>
      </c>
      <c r="D66" s="229" t="s">
        <v>206</v>
      </c>
      <c r="E66" s="283">
        <f>UM!E149</f>
        <v>40205</v>
      </c>
      <c r="F66" s="655">
        <f>UM!G149</f>
        <v>0</v>
      </c>
      <c r="G66" s="661">
        <f t="shared" si="15"/>
        <v>0</v>
      </c>
      <c r="H66" s="338">
        <f>G66-K66-L66-M66-N66-O66</f>
        <v>0</v>
      </c>
      <c r="I66" s="668">
        <v>0</v>
      </c>
      <c r="J66" s="274">
        <f>H66-I66</f>
        <v>0</v>
      </c>
      <c r="K66" s="275">
        <v>0</v>
      </c>
      <c r="L66" s="275">
        <v>0</v>
      </c>
      <c r="M66" s="274">
        <v>0</v>
      </c>
      <c r="N66" s="274">
        <v>0</v>
      </c>
      <c r="O66" s="330">
        <v>0</v>
      </c>
      <c r="P66" s="666">
        <v>0</v>
      </c>
      <c r="Q66" s="334">
        <f t="shared" si="0"/>
        <v>0</v>
      </c>
    </row>
    <row r="67" spans="1:17" s="60" customFormat="1" ht="89.25">
      <c r="A67" s="1328"/>
      <c r="B67" s="272">
        <v>751</v>
      </c>
      <c r="C67" s="272">
        <v>75109</v>
      </c>
      <c r="D67" s="229" t="s">
        <v>358</v>
      </c>
      <c r="E67" s="283">
        <f>UM!E157</f>
        <v>53438</v>
      </c>
      <c r="F67" s="655">
        <f>UM!G157</f>
        <v>0</v>
      </c>
      <c r="G67" s="661">
        <f t="shared" si="15"/>
        <v>0</v>
      </c>
      <c r="H67" s="338">
        <f t="shared" si="16"/>
        <v>0</v>
      </c>
      <c r="I67" s="273">
        <f>UM!G151+UM!G152+UM!G153</f>
        <v>0</v>
      </c>
      <c r="J67" s="274">
        <f t="shared" si="17"/>
        <v>0</v>
      </c>
      <c r="K67" s="275">
        <v>0</v>
      </c>
      <c r="L67" s="275">
        <v>0</v>
      </c>
      <c r="M67" s="274">
        <v>0</v>
      </c>
      <c r="N67" s="274">
        <v>0</v>
      </c>
      <c r="O67" s="330">
        <v>0</v>
      </c>
      <c r="P67" s="666">
        <v>0</v>
      </c>
      <c r="Q67" s="334">
        <f t="shared" si="0"/>
        <v>0</v>
      </c>
    </row>
    <row r="68" spans="1:17" s="60" customFormat="1" ht="12.75">
      <c r="A68" s="1328"/>
      <c r="B68" s="272">
        <v>752</v>
      </c>
      <c r="C68" s="272">
        <v>75212</v>
      </c>
      <c r="D68" s="229" t="s">
        <v>207</v>
      </c>
      <c r="E68" s="283">
        <f>UM!E159</f>
        <v>500</v>
      </c>
      <c r="F68" s="655">
        <f>UM!G159</f>
        <v>0</v>
      </c>
      <c r="G68" s="664">
        <f t="shared" si="15"/>
        <v>0</v>
      </c>
      <c r="H68" s="338">
        <f>G68-K68-L68-M68-N68-O68</f>
        <v>0</v>
      </c>
      <c r="I68" s="668">
        <f>UM!G129+UM!G130</f>
        <v>0</v>
      </c>
      <c r="J68" s="274">
        <f>H68-I68</f>
        <v>0</v>
      </c>
      <c r="K68" s="275">
        <v>0</v>
      </c>
      <c r="L68" s="275">
        <v>0</v>
      </c>
      <c r="M68" s="274">
        <v>0</v>
      </c>
      <c r="N68" s="274">
        <v>0</v>
      </c>
      <c r="O68" s="330">
        <v>0</v>
      </c>
      <c r="P68" s="666">
        <v>0</v>
      </c>
      <c r="Q68" s="334">
        <f t="shared" si="0"/>
        <v>0</v>
      </c>
    </row>
    <row r="69" spans="1:17" s="60" customFormat="1" ht="25.5">
      <c r="A69" s="1328"/>
      <c r="B69" s="272">
        <v>754</v>
      </c>
      <c r="C69" s="272">
        <v>75404</v>
      </c>
      <c r="D69" s="229" t="s">
        <v>622</v>
      </c>
      <c r="E69" s="283">
        <f>UM!E164</f>
        <v>25000</v>
      </c>
      <c r="F69" s="655">
        <f>UM!G164</f>
        <v>0</v>
      </c>
      <c r="G69" s="661">
        <f t="shared" si="15"/>
        <v>0</v>
      </c>
      <c r="H69" s="338">
        <f t="shared" si="16"/>
        <v>0</v>
      </c>
      <c r="I69" s="273">
        <v>0</v>
      </c>
      <c r="J69" s="274">
        <f t="shared" si="17"/>
        <v>0</v>
      </c>
      <c r="K69" s="275">
        <v>0</v>
      </c>
      <c r="L69" s="275">
        <f>UM!G162</f>
        <v>0</v>
      </c>
      <c r="M69" s="274">
        <v>0</v>
      </c>
      <c r="N69" s="274">
        <v>0</v>
      </c>
      <c r="O69" s="330">
        <v>0</v>
      </c>
      <c r="P69" s="666">
        <f>UM!G163</f>
        <v>0</v>
      </c>
      <c r="Q69" s="334">
        <f t="shared" si="0"/>
        <v>0</v>
      </c>
    </row>
    <row r="70" spans="1:17" s="60" customFormat="1" ht="25.5">
      <c r="A70" s="1328"/>
      <c r="B70" s="272">
        <v>754</v>
      </c>
      <c r="C70" s="272">
        <v>75411</v>
      </c>
      <c r="D70" s="229" t="s">
        <v>623</v>
      </c>
      <c r="E70" s="283">
        <f>UM!E166</f>
        <v>15000</v>
      </c>
      <c r="F70" s="655">
        <f>UM!G166</f>
        <v>0</v>
      </c>
      <c r="G70" s="661">
        <f t="shared" si="15"/>
        <v>0</v>
      </c>
      <c r="H70" s="338">
        <f t="shared" si="16"/>
        <v>0</v>
      </c>
      <c r="I70" s="273">
        <v>0</v>
      </c>
      <c r="J70" s="274">
        <f t="shared" si="17"/>
        <v>0</v>
      </c>
      <c r="K70" s="275">
        <v>0</v>
      </c>
      <c r="L70" s="275">
        <v>0</v>
      </c>
      <c r="M70" s="274">
        <v>0</v>
      </c>
      <c r="N70" s="274">
        <v>0</v>
      </c>
      <c r="O70" s="330">
        <v>0</v>
      </c>
      <c r="P70" s="666">
        <f>UM!G165</f>
        <v>0</v>
      </c>
      <c r="Q70" s="334">
        <f t="shared" si="0"/>
        <v>0</v>
      </c>
    </row>
    <row r="71" spans="1:17" s="60" customFormat="1" ht="12.75" customHeight="1">
      <c r="A71" s="1328"/>
      <c r="B71" s="272">
        <v>754</v>
      </c>
      <c r="C71" s="272">
        <v>75412</v>
      </c>
      <c r="D71" s="229" t="s">
        <v>54</v>
      </c>
      <c r="E71" s="283">
        <f>UM!E180</f>
        <v>210790</v>
      </c>
      <c r="F71" s="655">
        <f>UM!G180</f>
        <v>206000</v>
      </c>
      <c r="G71" s="661">
        <f t="shared" si="15"/>
        <v>206000</v>
      </c>
      <c r="H71" s="338">
        <f t="shared" si="16"/>
        <v>126000</v>
      </c>
      <c r="I71" s="273">
        <v>0</v>
      </c>
      <c r="J71" s="274">
        <f t="shared" si="17"/>
        <v>126000</v>
      </c>
      <c r="K71" s="275">
        <v>0</v>
      </c>
      <c r="L71" s="275">
        <f>UM!G167</f>
        <v>80000</v>
      </c>
      <c r="M71" s="274">
        <v>0</v>
      </c>
      <c r="N71" s="274">
        <v>0</v>
      </c>
      <c r="O71" s="330">
        <v>0</v>
      </c>
      <c r="P71" s="666">
        <f>UM!G179</f>
        <v>0</v>
      </c>
      <c r="Q71" s="334">
        <f t="shared" si="0"/>
        <v>0.9772759618577731</v>
      </c>
    </row>
    <row r="72" spans="1:17" s="60" customFormat="1" ht="12.75" customHeight="1">
      <c r="A72" s="1328"/>
      <c r="B72" s="272">
        <v>754</v>
      </c>
      <c r="C72" s="272">
        <v>75414</v>
      </c>
      <c r="D72" s="229" t="s">
        <v>57</v>
      </c>
      <c r="E72" s="283">
        <f>UM!E186</f>
        <v>10000</v>
      </c>
      <c r="F72" s="655">
        <f>UM!G186</f>
        <v>11400</v>
      </c>
      <c r="G72" s="661">
        <f t="shared" si="15"/>
        <v>11400</v>
      </c>
      <c r="H72" s="338">
        <f t="shared" si="16"/>
        <v>11400</v>
      </c>
      <c r="I72" s="273"/>
      <c r="J72" s="274">
        <f t="shared" si="17"/>
        <v>11400</v>
      </c>
      <c r="K72" s="275">
        <v>0</v>
      </c>
      <c r="L72" s="275">
        <v>0</v>
      </c>
      <c r="M72" s="274">
        <v>0</v>
      </c>
      <c r="N72" s="274">
        <v>0</v>
      </c>
      <c r="O72" s="330">
        <v>0</v>
      </c>
      <c r="P72" s="666">
        <v>0</v>
      </c>
      <c r="Q72" s="334">
        <f t="shared" si="0"/>
        <v>1.14</v>
      </c>
    </row>
    <row r="73" spans="1:17" s="60" customFormat="1" ht="12.75" customHeight="1">
      <c r="A73" s="1328"/>
      <c r="B73" s="272">
        <v>754</v>
      </c>
      <c r="C73" s="272">
        <v>75421</v>
      </c>
      <c r="D73" s="229" t="s">
        <v>624</v>
      </c>
      <c r="E73" s="283">
        <f>UM!E190</f>
        <v>18500</v>
      </c>
      <c r="F73" s="655">
        <f>UM!G190</f>
        <v>16500</v>
      </c>
      <c r="G73" s="661">
        <f t="shared" si="15"/>
        <v>16500</v>
      </c>
      <c r="H73" s="338">
        <f t="shared" si="16"/>
        <v>16500</v>
      </c>
      <c r="I73" s="273">
        <v>0</v>
      </c>
      <c r="J73" s="274">
        <f t="shared" si="17"/>
        <v>16500</v>
      </c>
      <c r="K73" s="275">
        <v>0</v>
      </c>
      <c r="L73" s="275">
        <v>0</v>
      </c>
      <c r="M73" s="274">
        <v>0</v>
      </c>
      <c r="N73" s="274">
        <v>0</v>
      </c>
      <c r="O73" s="330">
        <v>0</v>
      </c>
      <c r="P73" s="666">
        <f>UM!G189</f>
        <v>0</v>
      </c>
      <c r="Q73" s="334">
        <f t="shared" si="0"/>
        <v>0.8918918918918919</v>
      </c>
    </row>
    <row r="74" spans="1:17" s="60" customFormat="1" ht="25.5">
      <c r="A74" s="1328"/>
      <c r="B74" s="272">
        <v>754</v>
      </c>
      <c r="C74" s="272">
        <v>75478</v>
      </c>
      <c r="D74" s="229" t="s">
        <v>208</v>
      </c>
      <c r="E74" s="283">
        <f>UM!E196</f>
        <v>38429</v>
      </c>
      <c r="F74" s="655">
        <f>UM!G196</f>
        <v>0</v>
      </c>
      <c r="G74" s="661">
        <f>F74-P74</f>
        <v>0</v>
      </c>
      <c r="H74" s="338">
        <f t="shared" si="16"/>
        <v>0</v>
      </c>
      <c r="I74" s="668">
        <v>0</v>
      </c>
      <c r="J74" s="274">
        <f t="shared" si="17"/>
        <v>0</v>
      </c>
      <c r="K74" s="275">
        <v>0</v>
      </c>
      <c r="L74" s="275">
        <v>0</v>
      </c>
      <c r="M74" s="274">
        <v>0</v>
      </c>
      <c r="N74" s="274">
        <v>0</v>
      </c>
      <c r="O74" s="330">
        <v>0</v>
      </c>
      <c r="P74" s="666">
        <f>UM!G194+UM!G195</f>
        <v>0</v>
      </c>
      <c r="Q74" s="334">
        <f t="shared" si="0"/>
        <v>0</v>
      </c>
    </row>
    <row r="75" spans="1:17" s="60" customFormat="1" ht="38.25">
      <c r="A75" s="1328"/>
      <c r="B75" s="272">
        <v>757</v>
      </c>
      <c r="C75" s="272">
        <v>75702</v>
      </c>
      <c r="D75" s="229" t="s">
        <v>625</v>
      </c>
      <c r="E75" s="283">
        <f>UM!E205</f>
        <v>1330000</v>
      </c>
      <c r="F75" s="655">
        <f>UM!G205</f>
        <v>936548</v>
      </c>
      <c r="G75" s="661">
        <f t="shared" si="15"/>
        <v>936548</v>
      </c>
      <c r="H75" s="338">
        <f t="shared" si="16"/>
        <v>4000</v>
      </c>
      <c r="I75" s="273">
        <v>0</v>
      </c>
      <c r="J75" s="274">
        <f t="shared" si="17"/>
        <v>4000</v>
      </c>
      <c r="K75" s="275">
        <v>0</v>
      </c>
      <c r="L75" s="275">
        <v>0</v>
      </c>
      <c r="M75" s="274">
        <v>0</v>
      </c>
      <c r="N75" s="274">
        <v>0</v>
      </c>
      <c r="O75" s="330">
        <f>UM!G199</f>
        <v>932548</v>
      </c>
      <c r="P75" s="666">
        <v>0</v>
      </c>
      <c r="Q75" s="334">
        <f t="shared" si="0"/>
        <v>0.7041714285714286</v>
      </c>
    </row>
    <row r="76" spans="1:17" s="60" customFormat="1" ht="12.75">
      <c r="A76" s="1328"/>
      <c r="B76" s="272">
        <v>758</v>
      </c>
      <c r="C76" s="272">
        <v>75818</v>
      </c>
      <c r="D76" s="229" t="s">
        <v>626</v>
      </c>
      <c r="E76" s="283">
        <f>UM!E210</f>
        <v>1000</v>
      </c>
      <c r="F76" s="655">
        <f>UM!G210</f>
        <v>1321262</v>
      </c>
      <c r="G76" s="661">
        <f t="shared" si="15"/>
        <v>1321262</v>
      </c>
      <c r="H76" s="338">
        <f t="shared" si="16"/>
        <v>1321262</v>
      </c>
      <c r="I76" s="273">
        <v>0</v>
      </c>
      <c r="J76" s="274">
        <f t="shared" si="17"/>
        <v>1321262</v>
      </c>
      <c r="K76" s="275">
        <v>0</v>
      </c>
      <c r="L76" s="275">
        <v>0</v>
      </c>
      <c r="M76" s="274">
        <v>0</v>
      </c>
      <c r="N76" s="274">
        <v>0</v>
      </c>
      <c r="O76" s="330">
        <v>0</v>
      </c>
      <c r="P76" s="666">
        <v>0</v>
      </c>
      <c r="Q76" s="701">
        <f t="shared" si="0"/>
        <v>1321.262</v>
      </c>
    </row>
    <row r="77" spans="1:17" s="60" customFormat="1" ht="12.75">
      <c r="A77" s="1328"/>
      <c r="B77" s="272">
        <v>801</v>
      </c>
      <c r="C77" s="272">
        <v>80101</v>
      </c>
      <c r="D77" s="229" t="s">
        <v>477</v>
      </c>
      <c r="E77" s="283">
        <f>UM!E226</f>
        <v>1626535</v>
      </c>
      <c r="F77" s="655">
        <f>UM!G226</f>
        <v>1519105</v>
      </c>
      <c r="G77" s="661">
        <f t="shared" si="15"/>
        <v>364105</v>
      </c>
      <c r="H77" s="338">
        <f t="shared" si="16"/>
        <v>346903</v>
      </c>
      <c r="I77" s="273">
        <f>UM!G213</f>
        <v>1400</v>
      </c>
      <c r="J77" s="274">
        <f t="shared" si="17"/>
        <v>345503</v>
      </c>
      <c r="K77" s="275">
        <v>0</v>
      </c>
      <c r="L77" s="275">
        <f>UM!G212</f>
        <v>17202</v>
      </c>
      <c r="M77" s="274">
        <v>0</v>
      </c>
      <c r="N77" s="274">
        <v>0</v>
      </c>
      <c r="O77" s="330">
        <v>0</v>
      </c>
      <c r="P77" s="666">
        <f>UM!G216+UM!G217+UM!G218+UM!G219+UM!G220+UM!G221+UM!G222+UM!G223+UM!G224+UM!G225</f>
        <v>1155000</v>
      </c>
      <c r="Q77" s="334">
        <f aca="true" t="shared" si="18" ref="Q77:Q102">F77/E77</f>
        <v>0.9339516210840837</v>
      </c>
    </row>
    <row r="78" spans="1:17" s="60" customFormat="1" ht="12.75">
      <c r="A78" s="1328"/>
      <c r="B78" s="272">
        <v>801</v>
      </c>
      <c r="C78" s="272">
        <v>80104</v>
      </c>
      <c r="D78" s="229" t="s">
        <v>483</v>
      </c>
      <c r="E78" s="283">
        <f>UM!E233</f>
        <v>1686581</v>
      </c>
      <c r="F78" s="655">
        <f>UM!G233</f>
        <v>1917500</v>
      </c>
      <c r="G78" s="661">
        <f t="shared" si="15"/>
        <v>1908000</v>
      </c>
      <c r="H78" s="338">
        <f t="shared" si="16"/>
        <v>0</v>
      </c>
      <c r="I78" s="273">
        <v>0</v>
      </c>
      <c r="J78" s="274">
        <f t="shared" si="17"/>
        <v>0</v>
      </c>
      <c r="K78" s="275">
        <f>UM!G227+UM!G228+UM!G229+UM!G230</f>
        <v>1908000</v>
      </c>
      <c r="L78" s="275">
        <v>0</v>
      </c>
      <c r="M78" s="274">
        <v>0</v>
      </c>
      <c r="N78" s="274">
        <v>0</v>
      </c>
      <c r="O78" s="330">
        <v>0</v>
      </c>
      <c r="P78" s="666">
        <f>UM!G231+UM!G232</f>
        <v>9500</v>
      </c>
      <c r="Q78" s="334">
        <f t="shared" si="18"/>
        <v>1.1369154520298759</v>
      </c>
    </row>
    <row r="79" spans="1:17" s="60" customFormat="1" ht="12.75" customHeight="1">
      <c r="A79" s="1328"/>
      <c r="B79" s="272">
        <v>801</v>
      </c>
      <c r="C79" s="272">
        <v>80113</v>
      </c>
      <c r="D79" s="229" t="s">
        <v>628</v>
      </c>
      <c r="E79" s="283">
        <f>UM!E235</f>
        <v>140000</v>
      </c>
      <c r="F79" s="655">
        <f>UM!G235</f>
        <v>140000</v>
      </c>
      <c r="G79" s="661">
        <f t="shared" si="15"/>
        <v>140000</v>
      </c>
      <c r="H79" s="338">
        <f t="shared" si="16"/>
        <v>140000</v>
      </c>
      <c r="I79" s="273">
        <v>0</v>
      </c>
      <c r="J79" s="274">
        <f t="shared" si="17"/>
        <v>140000</v>
      </c>
      <c r="K79" s="275">
        <v>0</v>
      </c>
      <c r="L79" s="275">
        <v>0</v>
      </c>
      <c r="M79" s="274">
        <v>0</v>
      </c>
      <c r="N79" s="274">
        <v>0</v>
      </c>
      <c r="O79" s="330">
        <v>0</v>
      </c>
      <c r="P79" s="666">
        <v>0</v>
      </c>
      <c r="Q79" s="334">
        <f t="shared" si="18"/>
        <v>1</v>
      </c>
    </row>
    <row r="80" spans="1:17" s="60" customFormat="1" ht="25.5">
      <c r="A80" s="1328"/>
      <c r="B80" s="272">
        <v>801</v>
      </c>
      <c r="C80" s="272">
        <v>80146</v>
      </c>
      <c r="D80" s="229" t="s">
        <v>629</v>
      </c>
      <c r="E80" s="283">
        <f>UM!E238</f>
        <v>84353</v>
      </c>
      <c r="F80" s="655">
        <f>UM!G238</f>
        <v>92229</v>
      </c>
      <c r="G80" s="661">
        <f t="shared" si="15"/>
        <v>92229</v>
      </c>
      <c r="H80" s="338">
        <f t="shared" si="16"/>
        <v>92229</v>
      </c>
      <c r="I80" s="273">
        <v>0</v>
      </c>
      <c r="J80" s="274">
        <f t="shared" si="17"/>
        <v>92229</v>
      </c>
      <c r="K80" s="275">
        <v>0</v>
      </c>
      <c r="L80" s="275">
        <v>0</v>
      </c>
      <c r="M80" s="274">
        <v>0</v>
      </c>
      <c r="N80" s="274">
        <v>0</v>
      </c>
      <c r="O80" s="330">
        <v>0</v>
      </c>
      <c r="P80" s="666">
        <v>0</v>
      </c>
      <c r="Q80" s="334">
        <f t="shared" si="18"/>
        <v>1.093369530425711</v>
      </c>
    </row>
    <row r="81" spans="1:17" s="60" customFormat="1" ht="12.75">
      <c r="A81" s="1328"/>
      <c r="B81" s="272">
        <v>801</v>
      </c>
      <c r="C81" s="272">
        <v>80195</v>
      </c>
      <c r="D81" s="229" t="s">
        <v>51</v>
      </c>
      <c r="E81" s="283">
        <f>UM!E240</f>
        <v>28000</v>
      </c>
      <c r="F81" s="655">
        <f>UM!G240</f>
        <v>30000</v>
      </c>
      <c r="G81" s="661">
        <f t="shared" si="15"/>
        <v>30000</v>
      </c>
      <c r="H81" s="338">
        <f t="shared" si="16"/>
        <v>0</v>
      </c>
      <c r="I81" s="273">
        <v>0</v>
      </c>
      <c r="J81" s="274">
        <f t="shared" si="17"/>
        <v>0</v>
      </c>
      <c r="K81" s="275">
        <f>UM!G239</f>
        <v>30000</v>
      </c>
      <c r="L81" s="275">
        <v>0</v>
      </c>
      <c r="M81" s="274">
        <v>0</v>
      </c>
      <c r="N81" s="274">
        <v>0</v>
      </c>
      <c r="O81" s="330">
        <v>0</v>
      </c>
      <c r="P81" s="666">
        <v>0</v>
      </c>
      <c r="Q81" s="334">
        <f t="shared" si="18"/>
        <v>1.0714285714285714</v>
      </c>
    </row>
    <row r="82" spans="1:17" s="60" customFormat="1" ht="12.75">
      <c r="A82" s="1328"/>
      <c r="B82" s="272">
        <v>851</v>
      </c>
      <c r="C82" s="272">
        <v>85111</v>
      </c>
      <c r="D82" s="229" t="s">
        <v>630</v>
      </c>
      <c r="E82" s="283">
        <f>UM!E243</f>
        <v>10000</v>
      </c>
      <c r="F82" s="655">
        <f>UM!G243</f>
        <v>10000</v>
      </c>
      <c r="G82" s="661">
        <f t="shared" si="15"/>
        <v>0</v>
      </c>
      <c r="H82" s="338">
        <f t="shared" si="16"/>
        <v>0</v>
      </c>
      <c r="I82" s="273">
        <v>0</v>
      </c>
      <c r="J82" s="274">
        <f t="shared" si="17"/>
        <v>0</v>
      </c>
      <c r="K82" s="275">
        <v>0</v>
      </c>
      <c r="L82" s="275">
        <v>0</v>
      </c>
      <c r="M82" s="274">
        <v>0</v>
      </c>
      <c r="N82" s="274">
        <v>0</v>
      </c>
      <c r="O82" s="330">
        <v>0</v>
      </c>
      <c r="P82" s="666">
        <f>UM!G242</f>
        <v>10000</v>
      </c>
      <c r="Q82" s="334">
        <f t="shared" si="18"/>
        <v>1</v>
      </c>
    </row>
    <row r="83" spans="1:17" s="60" customFormat="1" ht="12.75">
      <c r="A83" s="1328"/>
      <c r="B83" s="272">
        <v>851</v>
      </c>
      <c r="C83" s="272">
        <v>85121</v>
      </c>
      <c r="D83" s="229" t="s">
        <v>631</v>
      </c>
      <c r="E83" s="283">
        <f>UM!E245</f>
        <v>55000</v>
      </c>
      <c r="F83" s="655">
        <f>UM!G245</f>
        <v>50000</v>
      </c>
      <c r="G83" s="661">
        <f t="shared" si="15"/>
        <v>50000</v>
      </c>
      <c r="H83" s="338">
        <f t="shared" si="16"/>
        <v>0</v>
      </c>
      <c r="I83" s="273">
        <v>0</v>
      </c>
      <c r="J83" s="274">
        <f t="shared" si="17"/>
        <v>0</v>
      </c>
      <c r="K83" s="275">
        <f>UM!G244</f>
        <v>50000</v>
      </c>
      <c r="L83" s="275">
        <v>0</v>
      </c>
      <c r="M83" s="274">
        <v>0</v>
      </c>
      <c r="N83" s="274">
        <v>0</v>
      </c>
      <c r="O83" s="330">
        <v>0</v>
      </c>
      <c r="P83" s="666">
        <v>0</v>
      </c>
      <c r="Q83" s="334">
        <f t="shared" si="18"/>
        <v>0.9090909090909091</v>
      </c>
    </row>
    <row r="84" spans="1:17" s="60" customFormat="1" ht="25.5">
      <c r="A84" s="1328"/>
      <c r="B84" s="272">
        <v>851</v>
      </c>
      <c r="C84" s="272">
        <v>85149</v>
      </c>
      <c r="D84" s="229" t="s">
        <v>632</v>
      </c>
      <c r="E84" s="283">
        <f>UM!E247</f>
        <v>0</v>
      </c>
      <c r="F84" s="655">
        <f>UM!G247</f>
        <v>5000</v>
      </c>
      <c r="G84" s="664">
        <f t="shared" si="15"/>
        <v>5000</v>
      </c>
      <c r="H84" s="338">
        <f t="shared" si="16"/>
        <v>0</v>
      </c>
      <c r="I84" s="273">
        <v>0</v>
      </c>
      <c r="J84" s="274">
        <f t="shared" si="17"/>
        <v>0</v>
      </c>
      <c r="K84" s="659">
        <f>UM!G246</f>
        <v>5000</v>
      </c>
      <c r="L84" s="275">
        <v>0</v>
      </c>
      <c r="M84" s="274">
        <v>0</v>
      </c>
      <c r="N84" s="274">
        <v>0</v>
      </c>
      <c r="O84" s="330">
        <v>0</v>
      </c>
      <c r="P84" s="667">
        <v>0</v>
      </c>
      <c r="Q84" s="334"/>
    </row>
    <row r="85" spans="1:17" s="60" customFormat="1" ht="12.75">
      <c r="A85" s="1328"/>
      <c r="B85" s="272">
        <v>851</v>
      </c>
      <c r="C85" s="272">
        <v>85153</v>
      </c>
      <c r="D85" s="229" t="s">
        <v>633</v>
      </c>
      <c r="E85" s="283">
        <f>UM!E251</f>
        <v>7500</v>
      </c>
      <c r="F85" s="655">
        <f>UM!G251</f>
        <v>10000</v>
      </c>
      <c r="G85" s="664">
        <f t="shared" si="15"/>
        <v>10000</v>
      </c>
      <c r="H85" s="338">
        <f t="shared" si="16"/>
        <v>10000</v>
      </c>
      <c r="I85" s="660">
        <f>UM!G248</f>
        <v>6000</v>
      </c>
      <c r="J85" s="274">
        <f t="shared" si="17"/>
        <v>4000</v>
      </c>
      <c r="K85" s="659">
        <v>0</v>
      </c>
      <c r="L85" s="275">
        <v>0</v>
      </c>
      <c r="M85" s="274">
        <v>0</v>
      </c>
      <c r="N85" s="274">
        <v>0</v>
      </c>
      <c r="O85" s="330">
        <v>0</v>
      </c>
      <c r="P85" s="666">
        <v>0</v>
      </c>
      <c r="Q85" s="334">
        <f t="shared" si="18"/>
        <v>1.3333333333333333</v>
      </c>
    </row>
    <row r="86" spans="1:17" s="60" customFormat="1" ht="25.5">
      <c r="A86" s="1328"/>
      <c r="B86" s="272">
        <v>851</v>
      </c>
      <c r="C86" s="272">
        <v>85154</v>
      </c>
      <c r="D86" s="229" t="s">
        <v>114</v>
      </c>
      <c r="E86" s="283">
        <f>UM!E266</f>
        <v>193058</v>
      </c>
      <c r="F86" s="655">
        <f>UM!G266</f>
        <v>225000</v>
      </c>
      <c r="G86" s="664">
        <f t="shared" si="15"/>
        <v>225000</v>
      </c>
      <c r="H86" s="338">
        <f t="shared" si="16"/>
        <v>165000</v>
      </c>
      <c r="I86" s="660">
        <f>UM!G255</f>
        <v>95000</v>
      </c>
      <c r="J86" s="274">
        <f t="shared" si="17"/>
        <v>70000</v>
      </c>
      <c r="K86" s="659">
        <f>UM!G252+UM!G253+UM!G254</f>
        <v>60000</v>
      </c>
      <c r="L86" s="275">
        <v>0</v>
      </c>
      <c r="M86" s="274">
        <v>0</v>
      </c>
      <c r="N86" s="274">
        <v>0</v>
      </c>
      <c r="O86" s="330">
        <v>0</v>
      </c>
      <c r="P86" s="666">
        <v>0</v>
      </c>
      <c r="Q86" s="334">
        <f t="shared" si="18"/>
        <v>1.1654528690859742</v>
      </c>
    </row>
    <row r="87" spans="1:17" s="60" customFormat="1" ht="12.75">
      <c r="A87" s="1328"/>
      <c r="B87" s="272">
        <v>851</v>
      </c>
      <c r="C87" s="272">
        <v>85195</v>
      </c>
      <c r="D87" s="229" t="s">
        <v>51</v>
      </c>
      <c r="E87" s="283">
        <f>UM!E269</f>
        <v>4000</v>
      </c>
      <c r="F87" s="655">
        <f>UM!G269</f>
        <v>4000</v>
      </c>
      <c r="G87" s="661">
        <f t="shared" si="15"/>
        <v>4000</v>
      </c>
      <c r="H87" s="338">
        <f t="shared" si="16"/>
        <v>4000</v>
      </c>
      <c r="I87" s="273">
        <v>0</v>
      </c>
      <c r="J87" s="274">
        <f t="shared" si="17"/>
        <v>4000</v>
      </c>
      <c r="K87" s="275">
        <f>UM!G267</f>
        <v>0</v>
      </c>
      <c r="L87" s="275">
        <v>0</v>
      </c>
      <c r="M87" s="274">
        <v>0</v>
      </c>
      <c r="N87" s="274">
        <v>0</v>
      </c>
      <c r="O87" s="330">
        <v>0</v>
      </c>
      <c r="P87" s="666">
        <v>0</v>
      </c>
      <c r="Q87" s="334">
        <f t="shared" si="18"/>
        <v>1</v>
      </c>
    </row>
    <row r="88" spans="1:17" s="60" customFormat="1" ht="12.75">
      <c r="A88" s="1328"/>
      <c r="B88" s="272">
        <v>852</v>
      </c>
      <c r="C88" s="272">
        <v>85295</v>
      </c>
      <c r="D88" s="229" t="s">
        <v>51</v>
      </c>
      <c r="E88" s="283">
        <f>UM!E275</f>
        <v>33000</v>
      </c>
      <c r="F88" s="655">
        <f>UM!G275</f>
        <v>30000</v>
      </c>
      <c r="G88" s="661">
        <f t="shared" si="15"/>
        <v>30000</v>
      </c>
      <c r="H88" s="338">
        <f t="shared" si="16"/>
        <v>0</v>
      </c>
      <c r="I88" s="273">
        <v>0</v>
      </c>
      <c r="J88" s="274">
        <f t="shared" si="17"/>
        <v>0</v>
      </c>
      <c r="K88" s="275">
        <f>UM!G271+UM!G272+UM!G273</f>
        <v>15000</v>
      </c>
      <c r="L88" s="275">
        <f>UM!G274</f>
        <v>15000</v>
      </c>
      <c r="M88" s="274">
        <v>0</v>
      </c>
      <c r="N88" s="274">
        <v>0</v>
      </c>
      <c r="O88" s="330">
        <v>0</v>
      </c>
      <c r="P88" s="666">
        <v>0</v>
      </c>
      <c r="Q88" s="334">
        <f t="shared" si="18"/>
        <v>0.9090909090909091</v>
      </c>
    </row>
    <row r="89" spans="1:17" s="60" customFormat="1" ht="25.5">
      <c r="A89" s="1328"/>
      <c r="B89" s="272">
        <v>854</v>
      </c>
      <c r="C89" s="272">
        <v>85415</v>
      </c>
      <c r="D89" s="229" t="s">
        <v>120</v>
      </c>
      <c r="E89" s="283">
        <f>UM!E280</f>
        <v>18830</v>
      </c>
      <c r="F89" s="655">
        <f>UM!G280</f>
        <v>0</v>
      </c>
      <c r="G89" s="661">
        <f t="shared" si="15"/>
        <v>0</v>
      </c>
      <c r="H89" s="338">
        <f t="shared" si="16"/>
        <v>0</v>
      </c>
      <c r="I89" s="273">
        <v>0</v>
      </c>
      <c r="J89" s="274">
        <f t="shared" si="17"/>
        <v>0</v>
      </c>
      <c r="K89" s="275">
        <v>0</v>
      </c>
      <c r="L89" s="275">
        <f>UM!G277+UM!G278</f>
        <v>0</v>
      </c>
      <c r="M89" s="274">
        <v>0</v>
      </c>
      <c r="N89" s="274">
        <v>0</v>
      </c>
      <c r="O89" s="330">
        <v>0</v>
      </c>
      <c r="P89" s="666">
        <v>0</v>
      </c>
      <c r="Q89" s="334">
        <f t="shared" si="18"/>
        <v>0</v>
      </c>
    </row>
    <row r="90" spans="1:17" s="60" customFormat="1" ht="12.75">
      <c r="A90" s="1328"/>
      <c r="B90" s="272">
        <v>854</v>
      </c>
      <c r="C90" s="272">
        <v>85495</v>
      </c>
      <c r="D90" s="229" t="s">
        <v>51</v>
      </c>
      <c r="E90" s="283">
        <f>UM!E284</f>
        <v>50000</v>
      </c>
      <c r="F90" s="655">
        <f>UM!G284</f>
        <v>20000</v>
      </c>
      <c r="G90" s="661">
        <f t="shared" si="15"/>
        <v>20000</v>
      </c>
      <c r="H90" s="338">
        <f t="shared" si="16"/>
        <v>0</v>
      </c>
      <c r="I90" s="273">
        <v>0</v>
      </c>
      <c r="J90" s="274">
        <f t="shared" si="17"/>
        <v>0</v>
      </c>
      <c r="K90" s="275">
        <f>UM!G281+UM!G282+UM!G283</f>
        <v>20000</v>
      </c>
      <c r="L90" s="275">
        <v>0</v>
      </c>
      <c r="M90" s="274">
        <v>0</v>
      </c>
      <c r="N90" s="274">
        <v>0</v>
      </c>
      <c r="O90" s="330">
        <v>0</v>
      </c>
      <c r="P90" s="666">
        <v>0</v>
      </c>
      <c r="Q90" s="334">
        <f t="shared" si="18"/>
        <v>0.4</v>
      </c>
    </row>
    <row r="91" spans="1:17" s="60" customFormat="1" ht="25.5">
      <c r="A91" s="1328"/>
      <c r="B91" s="272">
        <v>900</v>
      </c>
      <c r="C91" s="272">
        <v>90001</v>
      </c>
      <c r="D91" s="229" t="s">
        <v>121</v>
      </c>
      <c r="E91" s="283">
        <f>UM!E301</f>
        <v>9145397</v>
      </c>
      <c r="F91" s="655">
        <f>UM!G301</f>
        <v>3085000</v>
      </c>
      <c r="G91" s="661">
        <f t="shared" si="15"/>
        <v>1075000</v>
      </c>
      <c r="H91" s="338">
        <f t="shared" si="16"/>
        <v>1075000</v>
      </c>
      <c r="I91" s="273">
        <f>UM!G286</f>
        <v>0</v>
      </c>
      <c r="J91" s="274">
        <f t="shared" si="17"/>
        <v>1075000</v>
      </c>
      <c r="K91" s="275">
        <v>0</v>
      </c>
      <c r="L91" s="275">
        <v>0</v>
      </c>
      <c r="M91" s="274">
        <v>0</v>
      </c>
      <c r="N91" s="274">
        <v>0</v>
      </c>
      <c r="O91" s="330">
        <v>0</v>
      </c>
      <c r="P91" s="666">
        <f>UM!G292+UM!G293+UM!G294+UM!G295+UM!G296+UM!G297+UM!G298+UM!G299+UM!G300</f>
        <v>2010000</v>
      </c>
      <c r="Q91" s="334">
        <f t="shared" si="18"/>
        <v>0.33732816628955525</v>
      </c>
    </row>
    <row r="92" spans="1:17" s="60" customFormat="1" ht="12.75">
      <c r="A92" s="1328"/>
      <c r="B92" s="272">
        <v>900</v>
      </c>
      <c r="C92" s="272">
        <v>90002</v>
      </c>
      <c r="D92" s="229" t="s">
        <v>680</v>
      </c>
      <c r="E92" s="283">
        <f>UM!E305</f>
        <v>135927</v>
      </c>
      <c r="F92" s="655">
        <f>UM!G305</f>
        <v>40000</v>
      </c>
      <c r="G92" s="661">
        <f t="shared" si="15"/>
        <v>40000</v>
      </c>
      <c r="H92" s="338">
        <f t="shared" si="16"/>
        <v>40000</v>
      </c>
      <c r="I92" s="273">
        <v>0</v>
      </c>
      <c r="J92" s="274">
        <f t="shared" si="17"/>
        <v>40000</v>
      </c>
      <c r="K92" s="275">
        <v>0</v>
      </c>
      <c r="L92" s="275">
        <v>0</v>
      </c>
      <c r="M92" s="274">
        <v>0</v>
      </c>
      <c r="N92" s="274">
        <v>0</v>
      </c>
      <c r="O92" s="330">
        <v>0</v>
      </c>
      <c r="P92" s="666">
        <v>0</v>
      </c>
      <c r="Q92" s="334">
        <f t="shared" si="18"/>
        <v>0.2942756038167546</v>
      </c>
    </row>
    <row r="93" spans="1:17" s="60" customFormat="1" ht="12.75">
      <c r="A93" s="1328"/>
      <c r="B93" s="272">
        <v>900</v>
      </c>
      <c r="C93" s="272">
        <v>90003</v>
      </c>
      <c r="D93" s="229" t="s">
        <v>635</v>
      </c>
      <c r="E93" s="283">
        <f>UM!E311</f>
        <v>707084</v>
      </c>
      <c r="F93" s="655">
        <f>UM!G311</f>
        <v>686500</v>
      </c>
      <c r="G93" s="661">
        <f t="shared" si="15"/>
        <v>686500</v>
      </c>
      <c r="H93" s="338">
        <f t="shared" si="16"/>
        <v>686500</v>
      </c>
      <c r="I93" s="273">
        <v>0</v>
      </c>
      <c r="J93" s="274">
        <f t="shared" si="17"/>
        <v>686500</v>
      </c>
      <c r="K93" s="275">
        <v>0</v>
      </c>
      <c r="L93" s="275">
        <v>0</v>
      </c>
      <c r="M93" s="274">
        <v>0</v>
      </c>
      <c r="N93" s="274">
        <v>0</v>
      </c>
      <c r="O93" s="330">
        <v>0</v>
      </c>
      <c r="P93" s="666">
        <v>0</v>
      </c>
      <c r="Q93" s="334">
        <f t="shared" si="18"/>
        <v>0.9708888901460081</v>
      </c>
    </row>
    <row r="94" spans="1:17" s="60" customFormat="1" ht="25.5">
      <c r="A94" s="1328"/>
      <c r="B94" s="272">
        <v>900</v>
      </c>
      <c r="C94" s="272">
        <v>90004</v>
      </c>
      <c r="D94" s="229" t="s">
        <v>636</v>
      </c>
      <c r="E94" s="283">
        <f>UM!E314</f>
        <v>95000</v>
      </c>
      <c r="F94" s="655">
        <f>UM!G314</f>
        <v>75000</v>
      </c>
      <c r="G94" s="661">
        <f t="shared" si="15"/>
        <v>75000</v>
      </c>
      <c r="H94" s="338">
        <f t="shared" si="16"/>
        <v>75000</v>
      </c>
      <c r="I94" s="273">
        <v>0</v>
      </c>
      <c r="J94" s="274">
        <f t="shared" si="17"/>
        <v>75000</v>
      </c>
      <c r="K94" s="275">
        <v>0</v>
      </c>
      <c r="L94" s="275">
        <v>0</v>
      </c>
      <c r="M94" s="274">
        <v>0</v>
      </c>
      <c r="N94" s="274">
        <v>0</v>
      </c>
      <c r="O94" s="330">
        <v>0</v>
      </c>
      <c r="P94" s="666">
        <v>0</v>
      </c>
      <c r="Q94" s="334">
        <f t="shared" si="18"/>
        <v>0.7894736842105263</v>
      </c>
    </row>
    <row r="95" spans="1:17" s="60" customFormat="1" ht="25.5">
      <c r="A95" s="1328"/>
      <c r="B95" s="272">
        <v>900</v>
      </c>
      <c r="C95" s="272">
        <v>90015</v>
      </c>
      <c r="D95" s="229" t="s">
        <v>637</v>
      </c>
      <c r="E95" s="283">
        <f>UM!E320</f>
        <v>972760</v>
      </c>
      <c r="F95" s="655">
        <f>UM!G320</f>
        <v>885000</v>
      </c>
      <c r="G95" s="661">
        <f t="shared" si="15"/>
        <v>735000</v>
      </c>
      <c r="H95" s="338">
        <f t="shared" si="16"/>
        <v>735000</v>
      </c>
      <c r="I95" s="273">
        <v>0</v>
      </c>
      <c r="J95" s="274">
        <f t="shared" si="17"/>
        <v>735000</v>
      </c>
      <c r="K95" s="275">
        <v>0</v>
      </c>
      <c r="L95" s="275">
        <v>0</v>
      </c>
      <c r="M95" s="274">
        <v>0</v>
      </c>
      <c r="N95" s="274">
        <v>0</v>
      </c>
      <c r="O95" s="330">
        <v>0</v>
      </c>
      <c r="P95" s="666">
        <f>UM!G319</f>
        <v>150000</v>
      </c>
      <c r="Q95" s="334">
        <f t="shared" si="18"/>
        <v>0.909782474608331</v>
      </c>
    </row>
    <row r="96" spans="1:17" s="60" customFormat="1" ht="12.75">
      <c r="A96" s="1328"/>
      <c r="B96" s="272">
        <v>900</v>
      </c>
      <c r="C96" s="272">
        <v>90095</v>
      </c>
      <c r="D96" s="229" t="s">
        <v>51</v>
      </c>
      <c r="E96" s="283">
        <f>UM!E322</f>
        <v>0</v>
      </c>
      <c r="F96" s="655">
        <f>UM!G322</f>
        <v>5000</v>
      </c>
      <c r="G96" s="661">
        <f>F96-P96</f>
        <v>5000</v>
      </c>
      <c r="H96" s="338">
        <f>G96-K96-L96-M96-N96-O96</f>
        <v>0</v>
      </c>
      <c r="I96" s="273">
        <v>0</v>
      </c>
      <c r="J96" s="274">
        <f>H96-I96</f>
        <v>0</v>
      </c>
      <c r="K96" s="275">
        <f>UM!G321</f>
        <v>5000</v>
      </c>
      <c r="L96" s="275">
        <v>0</v>
      </c>
      <c r="M96" s="274">
        <v>0</v>
      </c>
      <c r="N96" s="274">
        <v>0</v>
      </c>
      <c r="O96" s="330">
        <v>0</v>
      </c>
      <c r="P96" s="666">
        <v>0</v>
      </c>
      <c r="Q96" s="334"/>
    </row>
    <row r="97" spans="1:17" s="60" customFormat="1" ht="25.5">
      <c r="A97" s="1328"/>
      <c r="B97" s="272">
        <v>921</v>
      </c>
      <c r="C97" s="272">
        <v>92109</v>
      </c>
      <c r="D97" s="229" t="s">
        <v>638</v>
      </c>
      <c r="E97" s="283">
        <f>UM!E329</f>
        <v>658000</v>
      </c>
      <c r="F97" s="655">
        <f>UM!G329</f>
        <v>775000</v>
      </c>
      <c r="G97" s="661">
        <f t="shared" si="15"/>
        <v>650000</v>
      </c>
      <c r="H97" s="338">
        <f t="shared" si="16"/>
        <v>50000</v>
      </c>
      <c r="I97" s="273">
        <v>0</v>
      </c>
      <c r="J97" s="274">
        <f t="shared" si="17"/>
        <v>50000</v>
      </c>
      <c r="K97" s="275">
        <f>UM!G324</f>
        <v>600000</v>
      </c>
      <c r="L97" s="275">
        <v>0</v>
      </c>
      <c r="M97" s="274">
        <v>0</v>
      </c>
      <c r="N97" s="274">
        <v>0</v>
      </c>
      <c r="O97" s="330">
        <v>0</v>
      </c>
      <c r="P97" s="666">
        <f>UM!G327+UM!G328</f>
        <v>125000</v>
      </c>
      <c r="Q97" s="334">
        <f t="shared" si="18"/>
        <v>1.1778115501519757</v>
      </c>
    </row>
    <row r="98" spans="1:17" s="60" customFormat="1" ht="12.75">
      <c r="A98" s="1328"/>
      <c r="B98" s="272">
        <v>921</v>
      </c>
      <c r="C98" s="272">
        <v>92116</v>
      </c>
      <c r="D98" s="229" t="s">
        <v>639</v>
      </c>
      <c r="E98" s="283">
        <f>UM!E331</f>
        <v>431158</v>
      </c>
      <c r="F98" s="655">
        <f>UM!G331</f>
        <v>448070</v>
      </c>
      <c r="G98" s="661">
        <f t="shared" si="15"/>
        <v>448070</v>
      </c>
      <c r="H98" s="338">
        <f t="shared" si="16"/>
        <v>0</v>
      </c>
      <c r="I98" s="273">
        <v>0</v>
      </c>
      <c r="J98" s="274">
        <f t="shared" si="17"/>
        <v>0</v>
      </c>
      <c r="K98" s="275">
        <f>UM!G330</f>
        <v>448070</v>
      </c>
      <c r="L98" s="275">
        <v>0</v>
      </c>
      <c r="M98" s="274">
        <v>0</v>
      </c>
      <c r="N98" s="274">
        <v>0</v>
      </c>
      <c r="O98" s="330">
        <v>0</v>
      </c>
      <c r="P98" s="666">
        <v>0</v>
      </c>
      <c r="Q98" s="334">
        <f t="shared" si="18"/>
        <v>1.0392245997986818</v>
      </c>
    </row>
    <row r="99" spans="1:17" s="60" customFormat="1" ht="25.5">
      <c r="A99" s="1328"/>
      <c r="B99" s="272">
        <v>921</v>
      </c>
      <c r="C99" s="272">
        <v>92120</v>
      </c>
      <c r="D99" s="229" t="s">
        <v>668</v>
      </c>
      <c r="E99" s="283">
        <f>UM!E334</f>
        <v>10000</v>
      </c>
      <c r="F99" s="655">
        <f>UM!G334</f>
        <v>110000</v>
      </c>
      <c r="G99" s="661">
        <f>F99-P99</f>
        <v>40000</v>
      </c>
      <c r="H99" s="338">
        <f>G99-K99-L99-M99-N99-O99</f>
        <v>40000</v>
      </c>
      <c r="I99" s="273">
        <v>0</v>
      </c>
      <c r="J99" s="274">
        <f>H99-I99</f>
        <v>40000</v>
      </c>
      <c r="K99" s="275">
        <v>0</v>
      </c>
      <c r="L99" s="275">
        <v>0</v>
      </c>
      <c r="M99" s="274">
        <v>0</v>
      </c>
      <c r="N99" s="274">
        <v>0</v>
      </c>
      <c r="O99" s="330">
        <v>0</v>
      </c>
      <c r="P99" s="666">
        <f>UM!G333</f>
        <v>70000</v>
      </c>
      <c r="Q99" s="334">
        <f t="shared" si="18"/>
        <v>11</v>
      </c>
    </row>
    <row r="100" spans="1:17" s="60" customFormat="1" ht="12.75">
      <c r="A100" s="1328"/>
      <c r="B100" s="272">
        <v>921</v>
      </c>
      <c r="C100" s="272">
        <v>92195</v>
      </c>
      <c r="D100" s="229" t="s">
        <v>51</v>
      </c>
      <c r="E100" s="283">
        <f>UM!E340</f>
        <v>181956</v>
      </c>
      <c r="F100" s="655">
        <f>UM!G340</f>
        <v>130000</v>
      </c>
      <c r="G100" s="661">
        <f t="shared" si="15"/>
        <v>130000</v>
      </c>
      <c r="H100" s="338">
        <f t="shared" si="16"/>
        <v>100000</v>
      </c>
      <c r="I100" s="273">
        <f>UM!G337</f>
        <v>0</v>
      </c>
      <c r="J100" s="274">
        <f t="shared" si="17"/>
        <v>100000</v>
      </c>
      <c r="K100" s="347">
        <f>UM!G335+UM!G336</f>
        <v>30000</v>
      </c>
      <c r="L100" s="275">
        <v>0</v>
      </c>
      <c r="M100" s="274">
        <v>0</v>
      </c>
      <c r="N100" s="274">
        <v>0</v>
      </c>
      <c r="O100" s="330">
        <v>0</v>
      </c>
      <c r="P100" s="666">
        <v>0</v>
      </c>
      <c r="Q100" s="334">
        <f t="shared" si="18"/>
        <v>0.7144584405020994</v>
      </c>
    </row>
    <row r="101" spans="1:17" s="60" customFormat="1" ht="12.75">
      <c r="A101" s="1328"/>
      <c r="B101" s="272">
        <v>926</v>
      </c>
      <c r="C101" s="272">
        <v>92601</v>
      </c>
      <c r="D101" s="229" t="s">
        <v>640</v>
      </c>
      <c r="E101" s="283">
        <f>UM!E348</f>
        <v>2552800</v>
      </c>
      <c r="F101" s="655">
        <f>UM!G348</f>
        <v>1230800</v>
      </c>
      <c r="G101" s="661">
        <f t="shared" si="15"/>
        <v>30800</v>
      </c>
      <c r="H101" s="338">
        <f t="shared" si="16"/>
        <v>30800</v>
      </c>
      <c r="I101" s="273">
        <v>0</v>
      </c>
      <c r="J101" s="274">
        <f t="shared" si="17"/>
        <v>30800</v>
      </c>
      <c r="K101" s="275">
        <v>0</v>
      </c>
      <c r="L101" s="275">
        <v>0</v>
      </c>
      <c r="M101" s="274">
        <v>0</v>
      </c>
      <c r="N101" s="274">
        <v>0</v>
      </c>
      <c r="O101" s="330">
        <v>0</v>
      </c>
      <c r="P101" s="666">
        <f>UM!G347</f>
        <v>1200000</v>
      </c>
      <c r="Q101" s="334">
        <f t="shared" si="18"/>
        <v>0.4821372610466938</v>
      </c>
    </row>
    <row r="102" spans="1:17" s="60" customFormat="1" ht="25.5">
      <c r="A102" s="1328"/>
      <c r="B102" s="272">
        <v>926</v>
      </c>
      <c r="C102" s="272">
        <v>92605</v>
      </c>
      <c r="D102" s="229" t="s">
        <v>641</v>
      </c>
      <c r="E102" s="283">
        <f>UM!E355</f>
        <v>169800</v>
      </c>
      <c r="F102" s="655">
        <f>UM!G355</f>
        <v>238410</v>
      </c>
      <c r="G102" s="661">
        <f t="shared" si="15"/>
        <v>238410</v>
      </c>
      <c r="H102" s="338">
        <f t="shared" si="16"/>
        <v>58410</v>
      </c>
      <c r="I102" s="273">
        <f>UM!G352</f>
        <v>14400</v>
      </c>
      <c r="J102" s="274">
        <f t="shared" si="17"/>
        <v>44010</v>
      </c>
      <c r="K102" s="275">
        <f>UM!G349</f>
        <v>160000</v>
      </c>
      <c r="L102" s="275">
        <f>UM!G350+UM!G351</f>
        <v>20000</v>
      </c>
      <c r="M102" s="274">
        <v>0</v>
      </c>
      <c r="N102" s="274">
        <v>0</v>
      </c>
      <c r="O102" s="330">
        <v>0</v>
      </c>
      <c r="P102" s="666">
        <v>0</v>
      </c>
      <c r="Q102" s="334">
        <f t="shared" si="18"/>
        <v>1.4040636042402828</v>
      </c>
    </row>
    <row r="103" spans="1:17" s="60" customFormat="1" ht="12.75">
      <c r="A103" s="1329" t="s">
        <v>659</v>
      </c>
      <c r="B103" s="1329"/>
      <c r="C103" s="1329"/>
      <c r="D103" s="1329"/>
      <c r="E103" s="284">
        <f aca="true" t="shared" si="19" ref="E103:P103">SUM(E49:E102)</f>
        <v>34845235</v>
      </c>
      <c r="F103" s="289">
        <f t="shared" si="19"/>
        <v>26097480</v>
      </c>
      <c r="G103" s="662">
        <f t="shared" si="19"/>
        <v>19800706</v>
      </c>
      <c r="H103" s="286">
        <f t="shared" si="19"/>
        <v>15194886</v>
      </c>
      <c r="I103" s="253">
        <f t="shared" si="19"/>
        <v>5114454</v>
      </c>
      <c r="J103" s="253">
        <f t="shared" si="19"/>
        <v>10080432</v>
      </c>
      <c r="K103" s="253">
        <f t="shared" si="19"/>
        <v>3331070</v>
      </c>
      <c r="L103" s="253">
        <f t="shared" si="19"/>
        <v>342202</v>
      </c>
      <c r="M103" s="253">
        <f t="shared" si="19"/>
        <v>0</v>
      </c>
      <c r="N103" s="253">
        <f t="shared" si="19"/>
        <v>0</v>
      </c>
      <c r="O103" s="331">
        <f t="shared" si="19"/>
        <v>932548</v>
      </c>
      <c r="P103" s="289">
        <f t="shared" si="19"/>
        <v>6296774</v>
      </c>
      <c r="Q103" s="335">
        <f>F103/E103</f>
        <v>0.7489540535456283</v>
      </c>
    </row>
    <row r="104" spans="1:17" s="60" customFormat="1" ht="13.5" thickBot="1">
      <c r="A104" s="1332" t="s">
        <v>660</v>
      </c>
      <c r="B104" s="1332"/>
      <c r="C104" s="1332"/>
      <c r="D104" s="1332"/>
      <c r="E104" s="285" t="e">
        <f aca="true" t="shared" si="20" ref="E104:P104">E18+E25+E32+E35+E48+E103</f>
        <v>#REF!</v>
      </c>
      <c r="F104" s="290" t="e">
        <f t="shared" si="20"/>
        <v>#REF!</v>
      </c>
      <c r="G104" s="665" t="e">
        <f t="shared" si="20"/>
        <v>#REF!</v>
      </c>
      <c r="H104" s="287" t="e">
        <f t="shared" si="20"/>
        <v>#REF!</v>
      </c>
      <c r="I104" s="277" t="e">
        <f t="shared" si="20"/>
        <v>#REF!</v>
      </c>
      <c r="J104" s="277" t="e">
        <f t="shared" si="20"/>
        <v>#REF!</v>
      </c>
      <c r="K104" s="277">
        <f t="shared" si="20"/>
        <v>3331070</v>
      </c>
      <c r="L104" s="277" t="e">
        <f t="shared" si="20"/>
        <v>#REF!</v>
      </c>
      <c r="M104" s="277" t="e">
        <f t="shared" si="20"/>
        <v>#REF!</v>
      </c>
      <c r="N104" s="277">
        <f t="shared" si="20"/>
        <v>0</v>
      </c>
      <c r="O104" s="332">
        <f t="shared" si="20"/>
        <v>932548</v>
      </c>
      <c r="P104" s="290" t="e">
        <f t="shared" si="20"/>
        <v>#REF!</v>
      </c>
      <c r="Q104" s="336" t="e">
        <f>F104/E104</f>
        <v>#REF!</v>
      </c>
    </row>
    <row r="105" spans="5:17" s="64" customFormat="1" ht="12.75">
      <c r="E105" s="166"/>
      <c r="F105" s="65"/>
      <c r="G105" s="65"/>
      <c r="H105" s="269"/>
      <c r="K105" s="267"/>
      <c r="L105" s="267"/>
      <c r="O105" s="267"/>
      <c r="Q105" s="66"/>
    </row>
    <row r="106" spans="5:17" s="64" customFormat="1" ht="12.75">
      <c r="E106" s="166"/>
      <c r="F106" s="232"/>
      <c r="G106" s="232"/>
      <c r="H106" s="270"/>
      <c r="K106" s="345"/>
      <c r="L106" s="267"/>
      <c r="O106" s="267"/>
      <c r="Q106" s="66"/>
    </row>
    <row r="107" spans="5:17" s="64" customFormat="1" ht="12.75">
      <c r="E107" s="166"/>
      <c r="F107" s="65"/>
      <c r="G107" s="65"/>
      <c r="H107" s="269"/>
      <c r="K107" s="267"/>
      <c r="L107" s="267"/>
      <c r="O107" s="267"/>
      <c r="Q107" s="66"/>
    </row>
    <row r="108" spans="1:17" s="64" customFormat="1" ht="12.75">
      <c r="A108"/>
      <c r="B108"/>
      <c r="C108"/>
      <c r="D108"/>
      <c r="E108" s="231"/>
      <c r="F108" s="57"/>
      <c r="G108" s="57"/>
      <c r="H108" s="271"/>
      <c r="I108"/>
      <c r="J108"/>
      <c r="K108" s="268"/>
      <c r="L108" s="268"/>
      <c r="M108"/>
      <c r="N108"/>
      <c r="O108" s="268"/>
      <c r="P108"/>
      <c r="Q108" s="58"/>
    </row>
  </sheetData>
  <mergeCells count="37">
    <mergeCell ref="A1:Q1"/>
    <mergeCell ref="A2:Q2"/>
    <mergeCell ref="A5:Q5"/>
    <mergeCell ref="A6:Q6"/>
    <mergeCell ref="A4:Q4"/>
    <mergeCell ref="K10:K11"/>
    <mergeCell ref="A7:J7"/>
    <mergeCell ref="A8:A11"/>
    <mergeCell ref="B8:B11"/>
    <mergeCell ref="C8:C11"/>
    <mergeCell ref="D8:D11"/>
    <mergeCell ref="E8:E11"/>
    <mergeCell ref="F8:F11"/>
    <mergeCell ref="I10:J10"/>
    <mergeCell ref="H9:O9"/>
    <mergeCell ref="A103:D103"/>
    <mergeCell ref="A104:D104"/>
    <mergeCell ref="Q8:Q11"/>
    <mergeCell ref="A18:D18"/>
    <mergeCell ref="A25:D25"/>
    <mergeCell ref="A32:D32"/>
    <mergeCell ref="G8:P8"/>
    <mergeCell ref="P9:P11"/>
    <mergeCell ref="G9:G11"/>
    <mergeCell ref="H10:H11"/>
    <mergeCell ref="L10:L11"/>
    <mergeCell ref="M10:M11"/>
    <mergeCell ref="N10:N11"/>
    <mergeCell ref="O10:O11"/>
    <mergeCell ref="A49:A102"/>
    <mergeCell ref="A35:D35"/>
    <mergeCell ref="A48:D48"/>
    <mergeCell ref="A36:A47"/>
    <mergeCell ref="A13:A17"/>
    <mergeCell ref="A19:A24"/>
    <mergeCell ref="A26:A31"/>
    <mergeCell ref="A33:A34"/>
  </mergeCells>
  <printOptions horizontalCentered="1"/>
  <pageMargins left="0" right="0" top="0.7874015748031497" bottom="0.5905511811023623" header="0.5118110236220472" footer="0.31496062992125984"/>
  <pageSetup horizontalDpi="300" verticalDpi="300" orientation="landscape" paperSize="9" scale="81" r:id="rId1"/>
  <headerFooter alignWithMargins="0">
    <oddFooter>&amp;CStrona &amp;P</oddFooter>
  </headerFooter>
  <rowBreaks count="2" manualBreakCount="2">
    <brk id="32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89"/>
  <sheetViews>
    <sheetView workbookViewId="0" topLeftCell="A1">
      <selection activeCell="J4" sqref="J4"/>
    </sheetView>
  </sheetViews>
  <sheetFormatPr defaultColWidth="9.33203125" defaultRowHeight="12.75"/>
  <cols>
    <col min="1" max="1" width="7.83203125" style="64" customWidth="1"/>
    <col min="2" max="2" width="11.33203125" style="64" customWidth="1"/>
    <col min="3" max="3" width="9" style="64" bestFit="1" customWidth="1"/>
    <col min="4" max="4" width="39.33203125" style="84" customWidth="1"/>
    <col min="5" max="6" width="12.83203125" style="85" customWidth="1"/>
    <col min="7" max="7" width="14.5" style="831" bestFit="1" customWidth="1"/>
    <col min="8" max="8" width="12" style="86" customWidth="1"/>
    <col min="9" max="9" width="43.5" style="472" customWidth="1"/>
    <col min="10" max="16384" width="9.33203125" style="64" customWidth="1"/>
  </cols>
  <sheetData>
    <row r="1" spans="1:9" s="60" customFormat="1" ht="12.75">
      <c r="A1" s="1358" t="s">
        <v>772</v>
      </c>
      <c r="B1" s="1358"/>
      <c r="C1" s="1358"/>
      <c r="D1" s="1358"/>
      <c r="E1" s="1358"/>
      <c r="F1" s="1358"/>
      <c r="G1" s="1358"/>
      <c r="H1" s="1358"/>
      <c r="I1" s="450"/>
    </row>
    <row r="2" spans="1:9" s="60" customFormat="1" ht="12.75">
      <c r="A2" s="1358" t="s">
        <v>856</v>
      </c>
      <c r="B2" s="1358"/>
      <c r="C2" s="1358"/>
      <c r="D2" s="1358"/>
      <c r="E2" s="1358"/>
      <c r="F2" s="1358"/>
      <c r="G2" s="1358"/>
      <c r="H2" s="1358"/>
      <c r="I2" s="450"/>
    </row>
    <row r="3" spans="1:9" s="60" customFormat="1" ht="12.75">
      <c r="A3" s="1359" t="s">
        <v>857</v>
      </c>
      <c r="B3" s="1359"/>
      <c r="C3" s="1359"/>
      <c r="D3" s="1359"/>
      <c r="E3" s="1359"/>
      <c r="F3" s="1359"/>
      <c r="G3" s="1359"/>
      <c r="H3" s="1359"/>
      <c r="I3" s="451"/>
    </row>
    <row r="4" spans="1:10" s="60" customFormat="1" ht="13.5" thickBot="1">
      <c r="A4" s="87"/>
      <c r="B4" s="88"/>
      <c r="C4" s="88"/>
      <c r="D4" s="89"/>
      <c r="E4" s="434" t="s">
        <v>302</v>
      </c>
      <c r="F4" s="90"/>
      <c r="G4" s="764" t="s">
        <v>413</v>
      </c>
      <c r="H4" s="90"/>
      <c r="I4" s="452"/>
      <c r="J4" s="848" t="s">
        <v>347</v>
      </c>
    </row>
    <row r="5" spans="1:9" s="60" customFormat="1" ht="63.75">
      <c r="A5" s="91" t="s">
        <v>414</v>
      </c>
      <c r="B5" s="92" t="s">
        <v>415</v>
      </c>
      <c r="C5" s="92" t="s">
        <v>417</v>
      </c>
      <c r="D5" s="93" t="s">
        <v>286</v>
      </c>
      <c r="E5" s="94" t="s">
        <v>773</v>
      </c>
      <c r="F5" s="405" t="s">
        <v>774</v>
      </c>
      <c r="G5" s="765" t="s">
        <v>775</v>
      </c>
      <c r="H5" s="420" t="s">
        <v>324</v>
      </c>
      <c r="I5" s="453" t="s">
        <v>434</v>
      </c>
    </row>
    <row r="6" spans="1:9" s="60" customFormat="1" ht="8.25" customHeight="1">
      <c r="A6" s="187">
        <v>1</v>
      </c>
      <c r="B6" s="187">
        <v>2</v>
      </c>
      <c r="C6" s="187">
        <v>3</v>
      </c>
      <c r="D6" s="188">
        <v>4</v>
      </c>
      <c r="E6" s="189">
        <v>5</v>
      </c>
      <c r="F6" s="406">
        <v>6</v>
      </c>
      <c r="G6" s="766">
        <v>7</v>
      </c>
      <c r="H6" s="421">
        <v>8</v>
      </c>
      <c r="I6" s="454"/>
    </row>
    <row r="7" spans="1:9" s="60" customFormat="1" ht="24" customHeight="1">
      <c r="A7" s="63" t="s">
        <v>699</v>
      </c>
      <c r="B7" s="63" t="s">
        <v>700</v>
      </c>
      <c r="C7" s="61">
        <v>2850</v>
      </c>
      <c r="D7" s="95" t="s">
        <v>858</v>
      </c>
      <c r="E7" s="82">
        <v>179</v>
      </c>
      <c r="F7" s="407" t="e">
        <f>#REF!*2%</f>
        <v>#REF!</v>
      </c>
      <c r="G7" s="767">
        <v>179</v>
      </c>
      <c r="H7" s="334">
        <f aca="true" t="shared" si="0" ref="H7:H22">G7/E7</f>
        <v>1</v>
      </c>
      <c r="I7" s="404" t="s">
        <v>859</v>
      </c>
    </row>
    <row r="8" spans="1:9" s="60" customFormat="1" ht="12.75">
      <c r="A8" s="97" t="s">
        <v>860</v>
      </c>
      <c r="B8" s="97" t="s">
        <v>700</v>
      </c>
      <c r="C8" s="98"/>
      <c r="D8" s="99" t="s">
        <v>701</v>
      </c>
      <c r="E8" s="100">
        <f>SUM(E7)</f>
        <v>179</v>
      </c>
      <c r="F8" s="419" t="e">
        <f>SUM(F7)</f>
        <v>#REF!</v>
      </c>
      <c r="G8" s="768">
        <f>SUM(G7)</f>
        <v>179</v>
      </c>
      <c r="H8" s="422">
        <f t="shared" si="0"/>
        <v>1</v>
      </c>
      <c r="I8" s="455"/>
    </row>
    <row r="9" spans="1:9" s="60" customFormat="1" ht="12.75">
      <c r="A9" s="101" t="s">
        <v>699</v>
      </c>
      <c r="B9" s="102" t="s">
        <v>474</v>
      </c>
      <c r="C9" s="102"/>
      <c r="D9" s="103" t="s">
        <v>642</v>
      </c>
      <c r="E9" s="104">
        <f>E8</f>
        <v>179</v>
      </c>
      <c r="F9" s="743" t="e">
        <f>F8</f>
        <v>#REF!</v>
      </c>
      <c r="G9" s="769">
        <f>G8</f>
        <v>179</v>
      </c>
      <c r="H9" s="423">
        <f t="shared" si="0"/>
        <v>1</v>
      </c>
      <c r="I9" s="456"/>
    </row>
    <row r="10" spans="1:9" s="60" customFormat="1" ht="105.75" customHeight="1">
      <c r="A10" s="63" t="s">
        <v>617</v>
      </c>
      <c r="B10" s="63" t="s">
        <v>618</v>
      </c>
      <c r="C10" s="230">
        <v>6639</v>
      </c>
      <c r="D10" s="168" t="s">
        <v>318</v>
      </c>
      <c r="E10" s="647">
        <v>6765</v>
      </c>
      <c r="F10" s="391">
        <v>3303</v>
      </c>
      <c r="G10" s="770">
        <v>14670</v>
      </c>
      <c r="H10" s="424">
        <f t="shared" si="0"/>
        <v>2.1685144124168514</v>
      </c>
      <c r="I10" s="457" t="s">
        <v>280</v>
      </c>
    </row>
    <row r="11" spans="1:9" s="60" customFormat="1" ht="12.75">
      <c r="A11" s="97" t="s">
        <v>860</v>
      </c>
      <c r="B11" s="97" t="s">
        <v>618</v>
      </c>
      <c r="C11" s="98"/>
      <c r="D11" s="99" t="s">
        <v>619</v>
      </c>
      <c r="E11" s="100">
        <f>SUM(E10)</f>
        <v>6765</v>
      </c>
      <c r="F11" s="419">
        <f>SUM(F10)</f>
        <v>3303</v>
      </c>
      <c r="G11" s="768">
        <f>SUM(G10)</f>
        <v>14670</v>
      </c>
      <c r="H11" s="425">
        <f t="shared" si="0"/>
        <v>2.1685144124168514</v>
      </c>
      <c r="I11" s="455"/>
    </row>
    <row r="12" spans="1:9" s="60" customFormat="1" ht="12.75">
      <c r="A12" s="101" t="s">
        <v>617</v>
      </c>
      <c r="B12" s="102" t="s">
        <v>474</v>
      </c>
      <c r="C12" s="102"/>
      <c r="D12" s="103" t="s">
        <v>620</v>
      </c>
      <c r="E12" s="104">
        <f>E11</f>
        <v>6765</v>
      </c>
      <c r="F12" s="743">
        <f>F11</f>
        <v>3303</v>
      </c>
      <c r="G12" s="769">
        <f>G11</f>
        <v>14670</v>
      </c>
      <c r="H12" s="423">
        <f t="shared" si="0"/>
        <v>2.1685144124168514</v>
      </c>
      <c r="I12" s="456"/>
    </row>
    <row r="13" spans="1:9" s="60" customFormat="1" ht="22.5">
      <c r="A13" s="63" t="s">
        <v>861</v>
      </c>
      <c r="B13" s="61">
        <v>40002</v>
      </c>
      <c r="C13" s="106">
        <v>6050</v>
      </c>
      <c r="D13" s="107" t="s">
        <v>435</v>
      </c>
      <c r="E13" s="169">
        <v>650000</v>
      </c>
      <c r="F13" s="391">
        <v>800000</v>
      </c>
      <c r="G13" s="771">
        <v>350000</v>
      </c>
      <c r="H13" s="424">
        <f t="shared" si="0"/>
        <v>0.5384615384615384</v>
      </c>
      <c r="I13" s="457" t="s">
        <v>226</v>
      </c>
    </row>
    <row r="14" spans="1:9" s="60" customFormat="1" ht="12.75">
      <c r="A14" s="97" t="s">
        <v>860</v>
      </c>
      <c r="B14" s="98">
        <v>40002</v>
      </c>
      <c r="C14" s="98"/>
      <c r="D14" s="99" t="s">
        <v>423</v>
      </c>
      <c r="E14" s="100">
        <f>SUM(E13:E13)</f>
        <v>650000</v>
      </c>
      <c r="F14" s="419">
        <f>SUM(F13:F13)</f>
        <v>800000</v>
      </c>
      <c r="G14" s="768">
        <f>SUM(G13:G13)</f>
        <v>350000</v>
      </c>
      <c r="H14" s="425">
        <f t="shared" si="0"/>
        <v>0.5384615384615384</v>
      </c>
      <c r="I14" s="455"/>
    </row>
    <row r="15" spans="1:9" s="60" customFormat="1" ht="21">
      <c r="A15" s="101" t="s">
        <v>861</v>
      </c>
      <c r="B15" s="102" t="s">
        <v>474</v>
      </c>
      <c r="C15" s="102"/>
      <c r="D15" s="103" t="s">
        <v>131</v>
      </c>
      <c r="E15" s="104">
        <f>E14</f>
        <v>650000</v>
      </c>
      <c r="F15" s="743">
        <f>F14</f>
        <v>800000</v>
      </c>
      <c r="G15" s="769">
        <f>G14</f>
        <v>350000</v>
      </c>
      <c r="H15" s="423">
        <f t="shared" si="0"/>
        <v>0.5384615384615384</v>
      </c>
      <c r="I15" s="456"/>
    </row>
    <row r="16" spans="1:9" s="60" customFormat="1" ht="12.75">
      <c r="A16" s="109" t="s">
        <v>862</v>
      </c>
      <c r="B16" s="110">
        <v>60004</v>
      </c>
      <c r="C16" s="110">
        <v>4270</v>
      </c>
      <c r="D16" s="95" t="s">
        <v>867</v>
      </c>
      <c r="E16" s="108">
        <v>2000</v>
      </c>
      <c r="F16" s="390">
        <v>0</v>
      </c>
      <c r="G16" s="598">
        <v>2000</v>
      </c>
      <c r="H16" s="424">
        <f>G16/E16</f>
        <v>1</v>
      </c>
      <c r="I16" s="457" t="s">
        <v>403</v>
      </c>
    </row>
    <row r="17" spans="1:9" s="111" customFormat="1" ht="67.5">
      <c r="A17" s="109" t="s">
        <v>862</v>
      </c>
      <c r="B17" s="110">
        <v>60004</v>
      </c>
      <c r="C17" s="110">
        <v>4300</v>
      </c>
      <c r="D17" s="95" t="s">
        <v>863</v>
      </c>
      <c r="E17" s="108">
        <v>656000</v>
      </c>
      <c r="F17" s="390">
        <v>650328</v>
      </c>
      <c r="G17" s="772">
        <v>650328</v>
      </c>
      <c r="H17" s="424">
        <f t="shared" si="0"/>
        <v>0.9913536585365854</v>
      </c>
      <c r="I17" s="457" t="s">
        <v>520</v>
      </c>
    </row>
    <row r="18" spans="1:9" s="60" customFormat="1" ht="12.75">
      <c r="A18" s="97" t="s">
        <v>860</v>
      </c>
      <c r="B18" s="98">
        <v>60004</v>
      </c>
      <c r="C18" s="98"/>
      <c r="D18" s="99" t="s">
        <v>190</v>
      </c>
      <c r="E18" s="100">
        <f>SUM(E16:E17)</f>
        <v>658000</v>
      </c>
      <c r="F18" s="419">
        <f>SUM(F16:F17)</f>
        <v>650328</v>
      </c>
      <c r="G18" s="768">
        <f>SUM(G16:G17)</f>
        <v>652328</v>
      </c>
      <c r="H18" s="425">
        <f t="shared" si="0"/>
        <v>0.9913799392097264</v>
      </c>
      <c r="I18" s="455"/>
    </row>
    <row r="19" spans="1:9" s="60" customFormat="1" ht="22.5">
      <c r="A19" s="63" t="s">
        <v>862</v>
      </c>
      <c r="B19" s="61">
        <v>60014</v>
      </c>
      <c r="C19" s="110">
        <v>4430</v>
      </c>
      <c r="D19" s="118" t="s">
        <v>868</v>
      </c>
      <c r="E19" s="82">
        <v>70000</v>
      </c>
      <c r="F19" s="390">
        <v>70000</v>
      </c>
      <c r="G19" s="598">
        <v>70000</v>
      </c>
      <c r="H19" s="424">
        <f t="shared" si="0"/>
        <v>1</v>
      </c>
      <c r="I19" s="193" t="s">
        <v>243</v>
      </c>
    </row>
    <row r="20" spans="1:9" s="60" customFormat="1" ht="67.5">
      <c r="A20" s="109" t="s">
        <v>862</v>
      </c>
      <c r="B20" s="110">
        <v>60014</v>
      </c>
      <c r="C20" s="397">
        <v>6300</v>
      </c>
      <c r="D20" s="201" t="s">
        <v>839</v>
      </c>
      <c r="E20" s="169">
        <v>500000</v>
      </c>
      <c r="F20" s="391">
        <v>0</v>
      </c>
      <c r="G20" s="773">
        <v>0</v>
      </c>
      <c r="H20" s="424">
        <f t="shared" si="0"/>
        <v>0</v>
      </c>
      <c r="I20" s="612" t="s">
        <v>538</v>
      </c>
    </row>
    <row r="21" spans="1:9" s="60" customFormat="1" ht="56.25">
      <c r="A21" s="109" t="s">
        <v>862</v>
      </c>
      <c r="B21" s="110">
        <v>60014</v>
      </c>
      <c r="C21" s="397">
        <v>6300</v>
      </c>
      <c r="D21" s="201" t="s">
        <v>9</v>
      </c>
      <c r="E21" s="169">
        <v>70000</v>
      </c>
      <c r="F21" s="391">
        <v>0</v>
      </c>
      <c r="G21" s="606">
        <v>0</v>
      </c>
      <c r="H21" s="424">
        <f t="shared" si="0"/>
        <v>0</v>
      </c>
      <c r="I21" s="193"/>
    </row>
    <row r="22" spans="1:9" s="60" customFormat="1" ht="56.25">
      <c r="A22" s="109" t="s">
        <v>862</v>
      </c>
      <c r="B22" s="110">
        <v>60014</v>
      </c>
      <c r="C22" s="397">
        <v>6300</v>
      </c>
      <c r="D22" s="201" t="s">
        <v>806</v>
      </c>
      <c r="E22" s="169">
        <v>200000</v>
      </c>
      <c r="F22" s="391">
        <v>0</v>
      </c>
      <c r="G22" s="606">
        <v>0</v>
      </c>
      <c r="H22" s="424">
        <f t="shared" si="0"/>
        <v>0</v>
      </c>
      <c r="I22" s="193"/>
    </row>
    <row r="23" spans="1:9" s="60" customFormat="1" ht="12.75">
      <c r="A23" s="97" t="s">
        <v>860</v>
      </c>
      <c r="B23" s="98">
        <v>60014</v>
      </c>
      <c r="C23" s="98"/>
      <c r="D23" s="99" t="s">
        <v>191</v>
      </c>
      <c r="E23" s="100">
        <f>SUM(E19:E22)</f>
        <v>840000</v>
      </c>
      <c r="F23" s="419">
        <f>SUM(F19:F22)</f>
        <v>70000</v>
      </c>
      <c r="G23" s="768">
        <f>SUM(G19:G22)</f>
        <v>70000</v>
      </c>
      <c r="H23" s="425">
        <f aca="true" t="shared" si="1" ref="H23:H62">G23/E23</f>
        <v>0.08333333333333333</v>
      </c>
      <c r="I23" s="455"/>
    </row>
    <row r="24" spans="1:9" s="60" customFormat="1" ht="12.75">
      <c r="A24" s="63" t="s">
        <v>862</v>
      </c>
      <c r="B24" s="61">
        <v>60016</v>
      </c>
      <c r="C24" s="61">
        <v>4210</v>
      </c>
      <c r="D24" s="95" t="s">
        <v>866</v>
      </c>
      <c r="E24" s="108">
        <v>25000</v>
      </c>
      <c r="F24" s="390">
        <v>50000</v>
      </c>
      <c r="G24" s="599">
        <v>30000</v>
      </c>
      <c r="H24" s="424">
        <f t="shared" si="1"/>
        <v>1.2</v>
      </c>
      <c r="I24" s="193" t="s">
        <v>405</v>
      </c>
    </row>
    <row r="25" spans="1:10" s="60" customFormat="1" ht="56.25">
      <c r="A25" s="500" t="s">
        <v>862</v>
      </c>
      <c r="B25" s="501">
        <v>60016</v>
      </c>
      <c r="C25" s="501">
        <v>4270</v>
      </c>
      <c r="D25" s="502" t="s">
        <v>867</v>
      </c>
      <c r="E25" s="648">
        <v>1109950</v>
      </c>
      <c r="F25" s="503">
        <v>2500000</v>
      </c>
      <c r="G25" s="774">
        <v>930000</v>
      </c>
      <c r="H25" s="424">
        <f t="shared" si="1"/>
        <v>0.8378755799810802</v>
      </c>
      <c r="I25" s="193" t="s">
        <v>189</v>
      </c>
      <c r="J25" s="60" t="s">
        <v>340</v>
      </c>
    </row>
    <row r="26" spans="1:9" s="60" customFormat="1" ht="33.75">
      <c r="A26" s="209" t="s">
        <v>862</v>
      </c>
      <c r="B26" s="62">
        <v>60016</v>
      </c>
      <c r="C26" s="62">
        <v>4300</v>
      </c>
      <c r="D26" s="154" t="s">
        <v>863</v>
      </c>
      <c r="E26" s="155">
        <v>425000</v>
      </c>
      <c r="F26" s="408">
        <v>300000</v>
      </c>
      <c r="G26" s="775">
        <v>300000</v>
      </c>
      <c r="H26" s="426">
        <f>G26/E26</f>
        <v>0.7058823529411765</v>
      </c>
      <c r="I26" s="210" t="s">
        <v>248</v>
      </c>
    </row>
    <row r="27" spans="1:9" s="60" customFormat="1" ht="22.5">
      <c r="A27" s="63" t="s">
        <v>862</v>
      </c>
      <c r="B27" s="61">
        <v>60016</v>
      </c>
      <c r="C27" s="106">
        <v>6050</v>
      </c>
      <c r="D27" s="107" t="s">
        <v>436</v>
      </c>
      <c r="E27" s="169">
        <v>150000</v>
      </c>
      <c r="F27" s="391">
        <v>3000000</v>
      </c>
      <c r="G27" s="773">
        <v>550000</v>
      </c>
      <c r="H27" s="424">
        <f>G27/E27</f>
        <v>3.6666666666666665</v>
      </c>
      <c r="I27" s="457" t="s">
        <v>842</v>
      </c>
    </row>
    <row r="28" spans="1:9" s="60" customFormat="1" ht="33.75">
      <c r="A28" s="63" t="s">
        <v>862</v>
      </c>
      <c r="B28" s="61">
        <v>60016</v>
      </c>
      <c r="C28" s="106">
        <v>6050</v>
      </c>
      <c r="D28" s="107" t="s">
        <v>808</v>
      </c>
      <c r="E28" s="169">
        <v>45000</v>
      </c>
      <c r="F28" s="391">
        <v>20000</v>
      </c>
      <c r="G28" s="773">
        <v>0</v>
      </c>
      <c r="H28" s="424">
        <f>G28/E28</f>
        <v>0</v>
      </c>
      <c r="I28" s="457" t="s">
        <v>14</v>
      </c>
    </row>
    <row r="29" spans="1:9" s="60" customFormat="1" ht="22.5">
      <c r="A29" s="63" t="s">
        <v>862</v>
      </c>
      <c r="B29" s="61">
        <v>60016</v>
      </c>
      <c r="C29" s="106">
        <v>6050</v>
      </c>
      <c r="D29" s="107" t="s">
        <v>809</v>
      </c>
      <c r="E29" s="169">
        <v>10000</v>
      </c>
      <c r="F29" s="391">
        <v>10000</v>
      </c>
      <c r="G29" s="773">
        <v>0</v>
      </c>
      <c r="H29" s="424">
        <f>G29/E29</f>
        <v>0</v>
      </c>
      <c r="I29" s="457" t="s">
        <v>15</v>
      </c>
    </row>
    <row r="30" spans="1:9" s="60" customFormat="1" ht="45">
      <c r="A30" s="63" t="s">
        <v>862</v>
      </c>
      <c r="B30" s="61">
        <v>60016</v>
      </c>
      <c r="C30" s="106">
        <v>6050</v>
      </c>
      <c r="D30" s="107" t="s">
        <v>720</v>
      </c>
      <c r="E30" s="169">
        <v>0</v>
      </c>
      <c r="F30" s="391">
        <v>150000</v>
      </c>
      <c r="G30" s="773">
        <v>0</v>
      </c>
      <c r="H30" s="424"/>
      <c r="I30" s="457" t="s">
        <v>226</v>
      </c>
    </row>
    <row r="31" spans="1:9" s="60" customFormat="1" ht="33.75">
      <c r="A31" s="63" t="s">
        <v>862</v>
      </c>
      <c r="B31" s="61">
        <v>60016</v>
      </c>
      <c r="C31" s="106">
        <v>6050</v>
      </c>
      <c r="D31" s="107" t="s">
        <v>196</v>
      </c>
      <c r="E31" s="169">
        <v>0</v>
      </c>
      <c r="F31" s="391">
        <v>670000</v>
      </c>
      <c r="G31" s="773">
        <v>0</v>
      </c>
      <c r="H31" s="424"/>
      <c r="I31" s="457" t="s">
        <v>226</v>
      </c>
    </row>
    <row r="32" spans="1:9" s="60" customFormat="1" ht="12.75">
      <c r="A32" s="97" t="s">
        <v>860</v>
      </c>
      <c r="B32" s="98">
        <v>60016</v>
      </c>
      <c r="C32" s="98"/>
      <c r="D32" s="99" t="s">
        <v>192</v>
      </c>
      <c r="E32" s="100">
        <f>SUM(E24:E31)</f>
        <v>1764950</v>
      </c>
      <c r="F32" s="419">
        <f>SUM(F24:F31)</f>
        <v>6700000</v>
      </c>
      <c r="G32" s="768">
        <f>SUM(G24:G31)</f>
        <v>1810000</v>
      </c>
      <c r="H32" s="427">
        <f t="shared" si="1"/>
        <v>1.0255248024023342</v>
      </c>
      <c r="I32" s="458"/>
    </row>
    <row r="33" spans="1:9" s="60" customFormat="1" ht="12.75">
      <c r="A33" s="101" t="s">
        <v>862</v>
      </c>
      <c r="B33" s="102" t="s">
        <v>474</v>
      </c>
      <c r="C33" s="102"/>
      <c r="D33" s="103" t="s">
        <v>869</v>
      </c>
      <c r="E33" s="104">
        <f>E18+E23+E32</f>
        <v>3262950</v>
      </c>
      <c r="F33" s="743">
        <f>F18+F23+F32</f>
        <v>7420328</v>
      </c>
      <c r="G33" s="769">
        <f>G18+G23+G32</f>
        <v>2532328</v>
      </c>
      <c r="H33" s="423">
        <f t="shared" si="1"/>
        <v>0.7760854441532968</v>
      </c>
      <c r="I33" s="456"/>
    </row>
    <row r="34" spans="1:9" s="111" customFormat="1" ht="22.5">
      <c r="A34" s="109" t="s">
        <v>870</v>
      </c>
      <c r="B34" s="110">
        <v>70004</v>
      </c>
      <c r="C34" s="113">
        <v>4170</v>
      </c>
      <c r="D34" s="114" t="s">
        <v>871</v>
      </c>
      <c r="E34" s="179">
        <v>7500</v>
      </c>
      <c r="F34" s="435">
        <v>8000</v>
      </c>
      <c r="G34" s="776">
        <v>8000</v>
      </c>
      <c r="H34" s="424">
        <f t="shared" si="1"/>
        <v>1.0666666666666667</v>
      </c>
      <c r="I34" s="457" t="s">
        <v>406</v>
      </c>
    </row>
    <row r="35" spans="1:9" s="60" customFormat="1" ht="12.75">
      <c r="A35" s="63" t="s">
        <v>870</v>
      </c>
      <c r="B35" s="61">
        <v>70004</v>
      </c>
      <c r="C35" s="61">
        <v>4210</v>
      </c>
      <c r="D35" s="95" t="s">
        <v>866</v>
      </c>
      <c r="E35" s="82">
        <v>5000</v>
      </c>
      <c r="F35" s="390">
        <v>20000</v>
      </c>
      <c r="G35" s="599">
        <v>20000</v>
      </c>
      <c r="H35" s="424">
        <f t="shared" si="1"/>
        <v>4</v>
      </c>
      <c r="I35" s="200" t="s">
        <v>865</v>
      </c>
    </row>
    <row r="36" spans="1:9" s="60" customFormat="1" ht="12.75">
      <c r="A36" s="63" t="s">
        <v>870</v>
      </c>
      <c r="B36" s="61">
        <v>70004</v>
      </c>
      <c r="C36" s="61">
        <v>4260</v>
      </c>
      <c r="D36" s="95" t="s">
        <v>873</v>
      </c>
      <c r="E36" s="82">
        <v>150000</v>
      </c>
      <c r="F36" s="390">
        <v>150000</v>
      </c>
      <c r="G36" s="599">
        <v>150000</v>
      </c>
      <c r="H36" s="424">
        <f t="shared" si="1"/>
        <v>1</v>
      </c>
      <c r="I36" s="200" t="s">
        <v>865</v>
      </c>
    </row>
    <row r="37" spans="1:9" s="60" customFormat="1" ht="78.75">
      <c r="A37" s="63" t="s">
        <v>870</v>
      </c>
      <c r="B37" s="61">
        <v>70004</v>
      </c>
      <c r="C37" s="61">
        <v>4270</v>
      </c>
      <c r="D37" s="95" t="s">
        <v>672</v>
      </c>
      <c r="E37" s="647">
        <v>319000</v>
      </c>
      <c r="F37" s="390">
        <v>200000</v>
      </c>
      <c r="G37" s="599">
        <v>100000</v>
      </c>
      <c r="H37" s="424">
        <f t="shared" si="1"/>
        <v>0.31347962382445144</v>
      </c>
      <c r="I37" s="457" t="s">
        <v>575</v>
      </c>
    </row>
    <row r="38" spans="1:9" s="60" customFormat="1" ht="12.75">
      <c r="A38" s="63" t="s">
        <v>870</v>
      </c>
      <c r="B38" s="61">
        <v>70004</v>
      </c>
      <c r="C38" s="61">
        <v>4300</v>
      </c>
      <c r="D38" s="95" t="s">
        <v>863</v>
      </c>
      <c r="E38" s="108">
        <v>207000</v>
      </c>
      <c r="F38" s="390">
        <v>200000</v>
      </c>
      <c r="G38" s="599">
        <v>200000</v>
      </c>
      <c r="H38" s="424">
        <f t="shared" si="1"/>
        <v>0.966183574879227</v>
      </c>
      <c r="I38" s="200" t="s">
        <v>20</v>
      </c>
    </row>
    <row r="39" spans="1:9" s="60" customFormat="1" ht="22.5">
      <c r="A39" s="63" t="s">
        <v>870</v>
      </c>
      <c r="B39" s="61">
        <v>70004</v>
      </c>
      <c r="C39" s="61">
        <v>4390</v>
      </c>
      <c r="D39" s="95" t="s">
        <v>88</v>
      </c>
      <c r="E39" s="108">
        <v>5000</v>
      </c>
      <c r="F39" s="409">
        <v>5000</v>
      </c>
      <c r="G39" s="772">
        <v>5000</v>
      </c>
      <c r="H39" s="424">
        <f>G39/E39</f>
        <v>1</v>
      </c>
      <c r="I39" s="200" t="s">
        <v>407</v>
      </c>
    </row>
    <row r="40" spans="1:9" s="60" customFormat="1" ht="22.5">
      <c r="A40" s="63" t="s">
        <v>870</v>
      </c>
      <c r="B40" s="61">
        <v>70004</v>
      </c>
      <c r="C40" s="61">
        <v>4430</v>
      </c>
      <c r="D40" s="95" t="s">
        <v>868</v>
      </c>
      <c r="E40" s="82">
        <v>3000</v>
      </c>
      <c r="F40" s="390"/>
      <c r="G40" s="598">
        <v>3000</v>
      </c>
      <c r="H40" s="424">
        <f t="shared" si="1"/>
        <v>1</v>
      </c>
      <c r="I40" s="193" t="s">
        <v>385</v>
      </c>
    </row>
    <row r="41" spans="1:9" s="60" customFormat="1" ht="12.75">
      <c r="A41" s="63" t="s">
        <v>870</v>
      </c>
      <c r="B41" s="61">
        <v>70004</v>
      </c>
      <c r="C41" s="61">
        <v>4530</v>
      </c>
      <c r="D41" s="95" t="s">
        <v>874</v>
      </c>
      <c r="E41" s="108">
        <v>300</v>
      </c>
      <c r="F41" s="409"/>
      <c r="G41" s="598">
        <v>300</v>
      </c>
      <c r="H41" s="424">
        <f t="shared" si="1"/>
        <v>1</v>
      </c>
      <c r="I41" s="638" t="s">
        <v>408</v>
      </c>
    </row>
    <row r="42" spans="1:9" s="60" customFormat="1" ht="33.75">
      <c r="A42" s="63" t="s">
        <v>870</v>
      </c>
      <c r="B42" s="61">
        <v>70004</v>
      </c>
      <c r="C42" s="106">
        <v>6050</v>
      </c>
      <c r="D42" s="107" t="s">
        <v>437</v>
      </c>
      <c r="E42" s="169">
        <v>45250</v>
      </c>
      <c r="F42" s="391">
        <v>0</v>
      </c>
      <c r="G42" s="777">
        <v>0</v>
      </c>
      <c r="H42" s="424">
        <f t="shared" si="1"/>
        <v>0</v>
      </c>
      <c r="I42" s="457"/>
    </row>
    <row r="43" spans="1:9" s="60" customFormat="1" ht="33.75">
      <c r="A43" s="63" t="s">
        <v>870</v>
      </c>
      <c r="B43" s="61">
        <v>70004</v>
      </c>
      <c r="C43" s="106">
        <v>6050</v>
      </c>
      <c r="D43" s="107" t="s">
        <v>197</v>
      </c>
      <c r="E43" s="169">
        <v>0</v>
      </c>
      <c r="F43" s="391">
        <v>1500000</v>
      </c>
      <c r="G43" s="771">
        <v>0</v>
      </c>
      <c r="H43" s="424"/>
      <c r="I43" s="457" t="s">
        <v>226</v>
      </c>
    </row>
    <row r="44" spans="1:9" s="60" customFormat="1" ht="21">
      <c r="A44" s="97" t="s">
        <v>860</v>
      </c>
      <c r="B44" s="98">
        <v>70004</v>
      </c>
      <c r="C44" s="98"/>
      <c r="D44" s="99" t="s">
        <v>884</v>
      </c>
      <c r="E44" s="100">
        <f>SUM(E34:E43)</f>
        <v>742050</v>
      </c>
      <c r="F44" s="419">
        <f>SUM(F34:F43)</f>
        <v>2083000</v>
      </c>
      <c r="G44" s="768">
        <f>SUM(G34:G43)</f>
        <v>486300</v>
      </c>
      <c r="H44" s="425">
        <f t="shared" si="1"/>
        <v>0.6553466747523752</v>
      </c>
      <c r="I44" s="455" t="s">
        <v>872</v>
      </c>
    </row>
    <row r="45" spans="1:9" s="60" customFormat="1" ht="22.5">
      <c r="A45" s="63" t="s">
        <v>870</v>
      </c>
      <c r="B45" s="61">
        <v>70005</v>
      </c>
      <c r="C45" s="113">
        <v>4170</v>
      </c>
      <c r="D45" s="114" t="s">
        <v>871</v>
      </c>
      <c r="E45" s="179">
        <v>14200</v>
      </c>
      <c r="F45" s="435">
        <v>30000</v>
      </c>
      <c r="G45" s="776">
        <v>0</v>
      </c>
      <c r="H45" s="428">
        <f t="shared" si="1"/>
        <v>0</v>
      </c>
      <c r="I45" s="193" t="s">
        <v>410</v>
      </c>
    </row>
    <row r="46" spans="1:9" s="60" customFormat="1" ht="22.5">
      <c r="A46" s="63" t="s">
        <v>870</v>
      </c>
      <c r="B46" s="61">
        <v>70005</v>
      </c>
      <c r="C46" s="61">
        <v>4210</v>
      </c>
      <c r="D46" s="95" t="s">
        <v>866</v>
      </c>
      <c r="E46" s="108">
        <v>18500</v>
      </c>
      <c r="F46" s="390">
        <v>30000</v>
      </c>
      <c r="G46" s="598">
        <v>20000</v>
      </c>
      <c r="H46" s="424">
        <f t="shared" si="1"/>
        <v>1.0810810810810811</v>
      </c>
      <c r="I46" s="193" t="s">
        <v>409</v>
      </c>
    </row>
    <row r="47" spans="1:9" s="60" customFormat="1" ht="12.75">
      <c r="A47" s="63" t="s">
        <v>870</v>
      </c>
      <c r="B47" s="61">
        <v>70005</v>
      </c>
      <c r="C47" s="61">
        <v>4260</v>
      </c>
      <c r="D47" s="95" t="s">
        <v>873</v>
      </c>
      <c r="E47" s="108">
        <v>98500</v>
      </c>
      <c r="F47" s="390">
        <v>100000</v>
      </c>
      <c r="G47" s="598">
        <v>100000</v>
      </c>
      <c r="H47" s="424">
        <f t="shared" si="1"/>
        <v>1.015228426395939</v>
      </c>
      <c r="I47" s="193" t="s">
        <v>865</v>
      </c>
    </row>
    <row r="48" spans="1:9" s="60" customFormat="1" ht="33.75">
      <c r="A48" s="63" t="s">
        <v>870</v>
      </c>
      <c r="B48" s="61">
        <v>70005</v>
      </c>
      <c r="C48" s="61">
        <v>4270</v>
      </c>
      <c r="D48" s="95" t="s">
        <v>396</v>
      </c>
      <c r="E48" s="108">
        <v>118000</v>
      </c>
      <c r="F48" s="390">
        <v>100000</v>
      </c>
      <c r="G48" s="598">
        <v>40000</v>
      </c>
      <c r="H48" s="424">
        <f t="shared" si="1"/>
        <v>0.3389830508474576</v>
      </c>
      <c r="I48" s="193" t="s">
        <v>576</v>
      </c>
    </row>
    <row r="49" spans="1:9" s="60" customFormat="1" ht="33.75">
      <c r="A49" s="63" t="s">
        <v>870</v>
      </c>
      <c r="B49" s="61">
        <v>70005</v>
      </c>
      <c r="C49" s="196">
        <v>4300</v>
      </c>
      <c r="D49" s="504" t="s">
        <v>557</v>
      </c>
      <c r="E49" s="203">
        <v>129260</v>
      </c>
      <c r="F49" s="505">
        <v>20000</v>
      </c>
      <c r="G49" s="778">
        <v>50000</v>
      </c>
      <c r="H49" s="424">
        <f t="shared" si="1"/>
        <v>0.3868172675228222</v>
      </c>
      <c r="I49" s="612" t="s">
        <v>521</v>
      </c>
    </row>
    <row r="50" spans="1:9" s="60" customFormat="1" ht="33.75">
      <c r="A50" s="63" t="s">
        <v>870</v>
      </c>
      <c r="B50" s="61">
        <v>70005</v>
      </c>
      <c r="C50" s="196">
        <v>4300</v>
      </c>
      <c r="D50" s="504" t="s">
        <v>557</v>
      </c>
      <c r="E50" s="203">
        <v>0</v>
      </c>
      <c r="F50" s="505">
        <v>60000</v>
      </c>
      <c r="G50" s="778">
        <v>40000</v>
      </c>
      <c r="H50" s="424"/>
      <c r="I50" s="612" t="s">
        <v>351</v>
      </c>
    </row>
    <row r="51" spans="1:9" s="60" customFormat="1" ht="33.75">
      <c r="A51" s="63" t="s">
        <v>870</v>
      </c>
      <c r="B51" s="61">
        <v>70005</v>
      </c>
      <c r="C51" s="61">
        <v>4370</v>
      </c>
      <c r="D51" s="95" t="s">
        <v>703</v>
      </c>
      <c r="E51" s="108">
        <v>1000</v>
      </c>
      <c r="F51" s="390">
        <v>0</v>
      </c>
      <c r="G51" s="598">
        <v>0</v>
      </c>
      <c r="H51" s="424">
        <f t="shared" si="1"/>
        <v>0</v>
      </c>
      <c r="I51" s="193" t="s">
        <v>384</v>
      </c>
    </row>
    <row r="52" spans="1:9" s="60" customFormat="1" ht="22.5">
      <c r="A52" s="63" t="s">
        <v>870</v>
      </c>
      <c r="B52" s="61">
        <v>70005</v>
      </c>
      <c r="C52" s="61">
        <v>4390</v>
      </c>
      <c r="D52" s="95" t="s">
        <v>88</v>
      </c>
      <c r="E52" s="108">
        <v>20740</v>
      </c>
      <c r="F52" s="390">
        <v>5000</v>
      </c>
      <c r="G52" s="598">
        <v>5000</v>
      </c>
      <c r="H52" s="424"/>
      <c r="I52" s="193" t="s">
        <v>865</v>
      </c>
    </row>
    <row r="53" spans="1:9" s="60" customFormat="1" ht="45">
      <c r="A53" s="63" t="s">
        <v>870</v>
      </c>
      <c r="B53" s="61">
        <v>70005</v>
      </c>
      <c r="C53" s="61">
        <v>4430</v>
      </c>
      <c r="D53" s="95" t="s">
        <v>868</v>
      </c>
      <c r="E53" s="82">
        <v>53000</v>
      </c>
      <c r="F53" s="390">
        <v>55000</v>
      </c>
      <c r="G53" s="598">
        <v>55000</v>
      </c>
      <c r="H53" s="424">
        <f t="shared" si="1"/>
        <v>1.0377358490566038</v>
      </c>
      <c r="I53" s="193" t="s">
        <v>577</v>
      </c>
    </row>
    <row r="54" spans="1:9" s="60" customFormat="1" ht="22.5">
      <c r="A54" s="207" t="s">
        <v>870</v>
      </c>
      <c r="B54" s="157">
        <v>70005</v>
      </c>
      <c r="C54" s="359">
        <v>4530</v>
      </c>
      <c r="D54" s="360" t="s">
        <v>874</v>
      </c>
      <c r="E54" s="361">
        <v>1000000</v>
      </c>
      <c r="F54" s="410">
        <v>1150000</v>
      </c>
      <c r="G54" s="779">
        <v>1000000</v>
      </c>
      <c r="H54" s="424">
        <f t="shared" si="1"/>
        <v>1</v>
      </c>
      <c r="I54" s="459" t="s">
        <v>493</v>
      </c>
    </row>
    <row r="55" spans="1:9" s="60" customFormat="1" ht="67.5">
      <c r="A55" s="276" t="s">
        <v>870</v>
      </c>
      <c r="B55" s="272">
        <v>70005</v>
      </c>
      <c r="C55" s="362">
        <v>6050</v>
      </c>
      <c r="D55" s="363" t="s">
        <v>812</v>
      </c>
      <c r="E55" s="364">
        <v>8344</v>
      </c>
      <c r="F55" s="411">
        <v>0</v>
      </c>
      <c r="G55" s="780">
        <v>0</v>
      </c>
      <c r="H55" s="424">
        <f t="shared" si="1"/>
        <v>0</v>
      </c>
      <c r="I55" s="457"/>
    </row>
    <row r="56" spans="1:9" s="60" customFormat="1" ht="45">
      <c r="A56" s="276" t="s">
        <v>870</v>
      </c>
      <c r="B56" s="254">
        <v>70005</v>
      </c>
      <c r="C56" s="362">
        <v>6050</v>
      </c>
      <c r="D56" s="363" t="s">
        <v>568</v>
      </c>
      <c r="E56" s="650">
        <v>700000</v>
      </c>
      <c r="F56" s="411">
        <v>500000</v>
      </c>
      <c r="G56" s="781">
        <v>0</v>
      </c>
      <c r="H56" s="424">
        <f t="shared" si="1"/>
        <v>0</v>
      </c>
      <c r="I56" s="457" t="s">
        <v>226</v>
      </c>
    </row>
    <row r="57" spans="1:10" s="60" customFormat="1" ht="45">
      <c r="A57" s="523" t="s">
        <v>870</v>
      </c>
      <c r="B57" s="524">
        <v>70005</v>
      </c>
      <c r="C57" s="525">
        <v>6050</v>
      </c>
      <c r="D57" s="526" t="s">
        <v>569</v>
      </c>
      <c r="E57" s="649">
        <v>500000</v>
      </c>
      <c r="F57" s="527">
        <v>800000</v>
      </c>
      <c r="G57" s="782">
        <v>120000</v>
      </c>
      <c r="H57" s="528">
        <f t="shared" si="1"/>
        <v>0.24</v>
      </c>
      <c r="I57" s="208" t="s">
        <v>226</v>
      </c>
      <c r="J57" s="60" t="s">
        <v>352</v>
      </c>
    </row>
    <row r="58" spans="1:10" s="60" customFormat="1" ht="33.75">
      <c r="A58" s="344" t="s">
        <v>870</v>
      </c>
      <c r="B58" s="254">
        <v>70005</v>
      </c>
      <c r="C58" s="529">
        <v>6050</v>
      </c>
      <c r="D58" s="530" t="s">
        <v>570</v>
      </c>
      <c r="E58" s="364">
        <v>0</v>
      </c>
      <c r="F58" s="411">
        <v>30000</v>
      </c>
      <c r="G58" s="783">
        <v>0</v>
      </c>
      <c r="H58" s="424"/>
      <c r="I58" s="193" t="s">
        <v>226</v>
      </c>
      <c r="J58" s="60" t="s">
        <v>338</v>
      </c>
    </row>
    <row r="59" spans="1:9" s="60" customFormat="1" ht="23.25" thickBot="1">
      <c r="A59" s="401" t="s">
        <v>870</v>
      </c>
      <c r="B59" s="402">
        <v>70005</v>
      </c>
      <c r="C59" s="403">
        <v>6050</v>
      </c>
      <c r="D59" s="512" t="s">
        <v>571</v>
      </c>
      <c r="E59" s="513">
        <v>0</v>
      </c>
      <c r="F59" s="630">
        <v>100000</v>
      </c>
      <c r="G59" s="784">
        <v>0</v>
      </c>
      <c r="H59" s="628"/>
      <c r="I59" s="531" t="s">
        <v>226</v>
      </c>
    </row>
    <row r="60" spans="1:9" s="60" customFormat="1" ht="22.5">
      <c r="A60" s="209" t="s">
        <v>870</v>
      </c>
      <c r="B60" s="62">
        <v>70005</v>
      </c>
      <c r="C60" s="610">
        <v>6060</v>
      </c>
      <c r="D60" s="218" t="s">
        <v>558</v>
      </c>
      <c r="E60" s="213">
        <v>150000</v>
      </c>
      <c r="F60" s="412">
        <v>800000</v>
      </c>
      <c r="G60" s="785">
        <v>200000</v>
      </c>
      <c r="H60" s="426">
        <f t="shared" si="1"/>
        <v>1.3333333333333333</v>
      </c>
      <c r="I60" s="639" t="s">
        <v>350</v>
      </c>
    </row>
    <row r="61" spans="1:9" s="60" customFormat="1" ht="35.25" customHeight="1">
      <c r="A61" s="63" t="s">
        <v>870</v>
      </c>
      <c r="B61" s="61">
        <v>70005</v>
      </c>
      <c r="C61" s="106">
        <v>6060</v>
      </c>
      <c r="D61" s="107" t="s">
        <v>547</v>
      </c>
      <c r="E61" s="169">
        <v>150000</v>
      </c>
      <c r="F61" s="391"/>
      <c r="G61" s="777">
        <v>100000</v>
      </c>
      <c r="H61" s="424">
        <f t="shared" si="1"/>
        <v>0.6666666666666666</v>
      </c>
      <c r="I61" s="457" t="s">
        <v>66</v>
      </c>
    </row>
    <row r="62" spans="1:9" s="60" customFormat="1" ht="24.75" customHeight="1">
      <c r="A62" s="63" t="s">
        <v>870</v>
      </c>
      <c r="B62" s="61">
        <v>70005</v>
      </c>
      <c r="C62" s="106">
        <v>6060</v>
      </c>
      <c r="D62" s="107" t="s">
        <v>813</v>
      </c>
      <c r="E62" s="169">
        <v>15600</v>
      </c>
      <c r="F62" s="391">
        <v>0</v>
      </c>
      <c r="G62" s="777">
        <v>0</v>
      </c>
      <c r="H62" s="424">
        <f t="shared" si="1"/>
        <v>0</v>
      </c>
      <c r="I62" s="457"/>
    </row>
    <row r="63" spans="1:9" s="60" customFormat="1" ht="12.75">
      <c r="A63" s="97" t="s">
        <v>860</v>
      </c>
      <c r="B63" s="98">
        <v>70005</v>
      </c>
      <c r="C63" s="98"/>
      <c r="D63" s="99" t="s">
        <v>887</v>
      </c>
      <c r="E63" s="100">
        <f>SUM(E45:E62)</f>
        <v>2977144</v>
      </c>
      <c r="F63" s="419">
        <f>SUM(F45:F62)</f>
        <v>3780000</v>
      </c>
      <c r="G63" s="768">
        <f>SUM(G45:G62)</f>
        <v>1730000</v>
      </c>
      <c r="H63" s="425">
        <f aca="true" t="shared" si="2" ref="H63:H70">G63/E63</f>
        <v>0.5810938268353831</v>
      </c>
      <c r="I63" s="455"/>
    </row>
    <row r="64" spans="1:9" s="60" customFormat="1" ht="12.75">
      <c r="A64" s="101" t="s">
        <v>870</v>
      </c>
      <c r="B64" s="102" t="s">
        <v>474</v>
      </c>
      <c r="C64" s="102"/>
      <c r="D64" s="103" t="s">
        <v>132</v>
      </c>
      <c r="E64" s="104">
        <f>E44+E63</f>
        <v>3719194</v>
      </c>
      <c r="F64" s="743">
        <f>F44+F63</f>
        <v>5863000</v>
      </c>
      <c r="G64" s="769">
        <f>G44+G63</f>
        <v>2216300</v>
      </c>
      <c r="H64" s="423">
        <f t="shared" si="2"/>
        <v>0.5959086834405519</v>
      </c>
      <c r="I64" s="456"/>
    </row>
    <row r="65" spans="1:9" s="60" customFormat="1" ht="22.5">
      <c r="A65" s="63" t="s">
        <v>559</v>
      </c>
      <c r="B65" s="61">
        <v>71004</v>
      </c>
      <c r="C65" s="113">
        <v>4170</v>
      </c>
      <c r="D65" s="114" t="s">
        <v>871</v>
      </c>
      <c r="E65" s="436">
        <v>6500</v>
      </c>
      <c r="F65" s="532">
        <v>5000</v>
      </c>
      <c r="G65" s="776">
        <v>5000</v>
      </c>
      <c r="H65" s="424">
        <f t="shared" si="2"/>
        <v>0.7692307692307693</v>
      </c>
      <c r="I65" s="457" t="s">
        <v>386</v>
      </c>
    </row>
    <row r="66" spans="1:9" s="60" customFormat="1" ht="33.75">
      <c r="A66" s="63" t="s">
        <v>559</v>
      </c>
      <c r="B66" s="61">
        <v>71004</v>
      </c>
      <c r="C66" s="61">
        <v>4300</v>
      </c>
      <c r="D66" s="95" t="s">
        <v>560</v>
      </c>
      <c r="E66" s="647">
        <v>59400</v>
      </c>
      <c r="F66" s="390">
        <v>200000</v>
      </c>
      <c r="G66" s="772">
        <v>150000</v>
      </c>
      <c r="H66" s="424">
        <f t="shared" si="2"/>
        <v>2.525252525252525</v>
      </c>
      <c r="I66" s="371" t="s">
        <v>546</v>
      </c>
    </row>
    <row r="67" spans="1:9" s="60" customFormat="1" ht="12.75">
      <c r="A67" s="97" t="s">
        <v>860</v>
      </c>
      <c r="B67" s="98">
        <v>71004</v>
      </c>
      <c r="C67" s="98"/>
      <c r="D67" s="99" t="s">
        <v>588</v>
      </c>
      <c r="E67" s="100">
        <f>SUM(E65:E66)</f>
        <v>65900</v>
      </c>
      <c r="F67" s="419">
        <f>SUM(F65:F66)</f>
        <v>205000</v>
      </c>
      <c r="G67" s="768">
        <f>SUM(G65:G66)</f>
        <v>155000</v>
      </c>
      <c r="H67" s="425">
        <f t="shared" si="2"/>
        <v>2.3520485584218513</v>
      </c>
      <c r="I67" s="455"/>
    </row>
    <row r="68" spans="1:9" s="60" customFormat="1" ht="12.75">
      <c r="A68" s="63" t="s">
        <v>559</v>
      </c>
      <c r="B68" s="61">
        <v>71014</v>
      </c>
      <c r="C68" s="61">
        <v>4300</v>
      </c>
      <c r="D68" s="95" t="s">
        <v>561</v>
      </c>
      <c r="E68" s="108">
        <v>80000</v>
      </c>
      <c r="F68" s="390">
        <v>50000</v>
      </c>
      <c r="G68" s="772">
        <v>50000</v>
      </c>
      <c r="H68" s="424">
        <f t="shared" si="2"/>
        <v>0.625</v>
      </c>
      <c r="I68" s="193" t="s">
        <v>221</v>
      </c>
    </row>
    <row r="69" spans="1:9" s="60" customFormat="1" ht="22.5">
      <c r="A69" s="63" t="s">
        <v>559</v>
      </c>
      <c r="B69" s="61">
        <v>71014</v>
      </c>
      <c r="C69" s="61">
        <v>4390</v>
      </c>
      <c r="D69" s="95" t="s">
        <v>88</v>
      </c>
      <c r="E69" s="82">
        <v>40000</v>
      </c>
      <c r="F69" s="390">
        <v>50000</v>
      </c>
      <c r="G69" s="772">
        <v>50000</v>
      </c>
      <c r="H69" s="424">
        <f t="shared" si="2"/>
        <v>1.25</v>
      </c>
      <c r="I69" s="457" t="s">
        <v>545</v>
      </c>
    </row>
    <row r="70" spans="1:9" s="60" customFormat="1" ht="12.75">
      <c r="A70" s="97" t="s">
        <v>860</v>
      </c>
      <c r="B70" s="98">
        <v>71014</v>
      </c>
      <c r="C70" s="98"/>
      <c r="D70" s="99" t="s">
        <v>589</v>
      </c>
      <c r="E70" s="100">
        <f>SUM(E68:E69)</f>
        <v>120000</v>
      </c>
      <c r="F70" s="419">
        <f>SUM(F68:F69)</f>
        <v>100000</v>
      </c>
      <c r="G70" s="768">
        <f>SUM(G68:G69)</f>
        <v>100000</v>
      </c>
      <c r="H70" s="425">
        <f t="shared" si="2"/>
        <v>0.8333333333333334</v>
      </c>
      <c r="I70" s="455"/>
    </row>
    <row r="71" spans="1:9" s="60" customFormat="1" ht="12.75">
      <c r="A71" s="101" t="s">
        <v>559</v>
      </c>
      <c r="B71" s="102" t="s">
        <v>474</v>
      </c>
      <c r="C71" s="102"/>
      <c r="D71" s="103" t="s">
        <v>133</v>
      </c>
      <c r="E71" s="104">
        <f>E67+E70</f>
        <v>185900</v>
      </c>
      <c r="F71" s="743">
        <f>F67+F70</f>
        <v>305000</v>
      </c>
      <c r="G71" s="769">
        <f>G67+G70</f>
        <v>255000</v>
      </c>
      <c r="H71" s="423">
        <f aca="true" t="shared" si="3" ref="H71:H80">G71/E71</f>
        <v>1.371705217859064</v>
      </c>
      <c r="I71" s="456"/>
    </row>
    <row r="72" spans="1:9" s="60" customFormat="1" ht="12.75">
      <c r="A72" s="63" t="s">
        <v>89</v>
      </c>
      <c r="B72" s="61">
        <v>75011</v>
      </c>
      <c r="C72" s="113" t="s">
        <v>90</v>
      </c>
      <c r="D72" s="114" t="s">
        <v>91</v>
      </c>
      <c r="E72" s="179">
        <v>91357</v>
      </c>
      <c r="F72" s="435"/>
      <c r="G72" s="786">
        <v>91357</v>
      </c>
      <c r="H72" s="424">
        <f t="shared" si="3"/>
        <v>1</v>
      </c>
      <c r="I72" s="457" t="s">
        <v>34</v>
      </c>
    </row>
    <row r="73" spans="1:9" s="60" customFormat="1" ht="12.75">
      <c r="A73" s="63" t="s">
        <v>89</v>
      </c>
      <c r="B73" s="61">
        <v>75011</v>
      </c>
      <c r="C73" s="113" t="s">
        <v>92</v>
      </c>
      <c r="D73" s="114" t="s">
        <v>93</v>
      </c>
      <c r="E73" s="179">
        <v>13877</v>
      </c>
      <c r="F73" s="435"/>
      <c r="G73" s="786">
        <v>13877</v>
      </c>
      <c r="H73" s="424">
        <f t="shared" si="3"/>
        <v>1</v>
      </c>
      <c r="I73" s="514">
        <v>0.1519</v>
      </c>
    </row>
    <row r="74" spans="1:9" s="60" customFormat="1" ht="12.75">
      <c r="A74" s="63" t="s">
        <v>89</v>
      </c>
      <c r="B74" s="61">
        <v>75011</v>
      </c>
      <c r="C74" s="113" t="s">
        <v>94</v>
      </c>
      <c r="D74" s="114" t="s">
        <v>95</v>
      </c>
      <c r="E74" s="179">
        <v>2239</v>
      </c>
      <c r="F74" s="435"/>
      <c r="G74" s="787">
        <v>2239</v>
      </c>
      <c r="H74" s="424">
        <f t="shared" si="3"/>
        <v>1</v>
      </c>
      <c r="I74" s="514">
        <v>0.0245</v>
      </c>
    </row>
    <row r="75" spans="1:9" s="60" customFormat="1" ht="12.75">
      <c r="A75" s="97" t="s">
        <v>96</v>
      </c>
      <c r="B75" s="98">
        <v>75011</v>
      </c>
      <c r="C75" s="98"/>
      <c r="D75" s="99" t="s">
        <v>892</v>
      </c>
      <c r="E75" s="100">
        <f>SUM(E72:E74)</f>
        <v>107473</v>
      </c>
      <c r="F75" s="419">
        <f>SUM(F72:F74)</f>
        <v>0</v>
      </c>
      <c r="G75" s="768">
        <f>SUM(G72:G74)</f>
        <v>107473</v>
      </c>
      <c r="H75" s="425">
        <f t="shared" si="3"/>
        <v>1</v>
      </c>
      <c r="I75" s="455"/>
    </row>
    <row r="76" spans="1:10" s="60" customFormat="1" ht="25.5" customHeight="1">
      <c r="A76" s="63" t="s">
        <v>89</v>
      </c>
      <c r="B76" s="61">
        <v>75022</v>
      </c>
      <c r="C76" s="110">
        <v>3030</v>
      </c>
      <c r="D76" s="118" t="s">
        <v>704</v>
      </c>
      <c r="E76" s="447">
        <v>131500</v>
      </c>
      <c r="F76" s="390">
        <v>160000</v>
      </c>
      <c r="G76" s="783">
        <v>210000</v>
      </c>
      <c r="H76" s="424">
        <f t="shared" si="3"/>
        <v>1.596958174904943</v>
      </c>
      <c r="I76" s="612" t="s">
        <v>387</v>
      </c>
      <c r="J76" s="763" t="s">
        <v>337</v>
      </c>
    </row>
    <row r="77" spans="1:9" s="60" customFormat="1" ht="12.75">
      <c r="A77" s="63" t="s">
        <v>89</v>
      </c>
      <c r="B77" s="61">
        <v>75022</v>
      </c>
      <c r="C77" s="113">
        <v>4170</v>
      </c>
      <c r="D77" s="114" t="s">
        <v>871</v>
      </c>
      <c r="E77" s="436">
        <v>29200</v>
      </c>
      <c r="F77" s="435">
        <v>30000</v>
      </c>
      <c r="G77" s="788">
        <v>30000</v>
      </c>
      <c r="H77" s="424">
        <f t="shared" si="3"/>
        <v>1.0273972602739727</v>
      </c>
      <c r="I77" s="193" t="s">
        <v>840</v>
      </c>
    </row>
    <row r="78" spans="1:9" s="60" customFormat="1" ht="45">
      <c r="A78" s="63" t="s">
        <v>89</v>
      </c>
      <c r="B78" s="61">
        <v>75022</v>
      </c>
      <c r="C78" s="611">
        <v>4210</v>
      </c>
      <c r="D78" s="95" t="s">
        <v>866</v>
      </c>
      <c r="E78" s="82">
        <v>3500</v>
      </c>
      <c r="F78" s="390">
        <v>15000</v>
      </c>
      <c r="G78" s="789">
        <v>8500</v>
      </c>
      <c r="H78" s="424">
        <f t="shared" si="3"/>
        <v>2.4285714285714284</v>
      </c>
      <c r="I78" s="193" t="s">
        <v>522</v>
      </c>
    </row>
    <row r="79" spans="1:9" s="60" customFormat="1" ht="22.5">
      <c r="A79" s="109" t="s">
        <v>89</v>
      </c>
      <c r="B79" s="110">
        <v>75022</v>
      </c>
      <c r="C79" s="172">
        <v>4270</v>
      </c>
      <c r="D79" s="118" t="s">
        <v>99</v>
      </c>
      <c r="E79" s="108">
        <v>3000</v>
      </c>
      <c r="F79" s="390">
        <v>3000</v>
      </c>
      <c r="G79" s="789">
        <v>1000</v>
      </c>
      <c r="H79" s="424">
        <f t="shared" si="3"/>
        <v>0.3333333333333333</v>
      </c>
      <c r="I79" s="193" t="s">
        <v>388</v>
      </c>
    </row>
    <row r="80" spans="1:9" s="60" customFormat="1" ht="22.5">
      <c r="A80" s="63" t="s">
        <v>89</v>
      </c>
      <c r="B80" s="61">
        <v>75022</v>
      </c>
      <c r="C80" s="172">
        <v>4300</v>
      </c>
      <c r="D80" s="118" t="s">
        <v>557</v>
      </c>
      <c r="E80" s="446">
        <v>1500</v>
      </c>
      <c r="F80" s="390">
        <v>0</v>
      </c>
      <c r="G80" s="789">
        <v>500</v>
      </c>
      <c r="H80" s="424">
        <f t="shared" si="3"/>
        <v>0.3333333333333333</v>
      </c>
      <c r="I80" s="612" t="s">
        <v>523</v>
      </c>
    </row>
    <row r="81" spans="1:9" s="60" customFormat="1" ht="33.75">
      <c r="A81" s="63" t="s">
        <v>89</v>
      </c>
      <c r="B81" s="61">
        <v>75022</v>
      </c>
      <c r="C81" s="611">
        <v>4360</v>
      </c>
      <c r="D81" s="95" t="s">
        <v>702</v>
      </c>
      <c r="E81" s="82">
        <v>0</v>
      </c>
      <c r="F81" s="390">
        <v>2000</v>
      </c>
      <c r="G81" s="789">
        <v>0</v>
      </c>
      <c r="H81" s="424"/>
      <c r="I81" s="193" t="s">
        <v>705</v>
      </c>
    </row>
    <row r="82" spans="1:9" s="60" customFormat="1" ht="33.75">
      <c r="A82" s="63" t="s">
        <v>89</v>
      </c>
      <c r="B82" s="61">
        <v>75022</v>
      </c>
      <c r="C82" s="611">
        <v>4370</v>
      </c>
      <c r="D82" s="95" t="s">
        <v>703</v>
      </c>
      <c r="E82" s="108">
        <v>1200</v>
      </c>
      <c r="F82" s="390">
        <v>2000</v>
      </c>
      <c r="G82" s="789">
        <v>1200</v>
      </c>
      <c r="H82" s="424">
        <f>G82/E82</f>
        <v>1</v>
      </c>
      <c r="I82" s="612" t="s">
        <v>389</v>
      </c>
    </row>
    <row r="83" spans="1:9" s="111" customFormat="1" ht="22.5">
      <c r="A83" s="63" t="s">
        <v>89</v>
      </c>
      <c r="B83" s="61">
        <v>75022</v>
      </c>
      <c r="C83" s="611">
        <v>4740</v>
      </c>
      <c r="D83" s="95" t="s">
        <v>104</v>
      </c>
      <c r="E83" s="108">
        <v>4000</v>
      </c>
      <c r="F83" s="445">
        <v>0</v>
      </c>
      <c r="G83" s="604">
        <v>0</v>
      </c>
      <c r="H83" s="428">
        <f>G83/E83</f>
        <v>0</v>
      </c>
      <c r="I83" s="193" t="s">
        <v>98</v>
      </c>
    </row>
    <row r="84" spans="1:9" s="111" customFormat="1" ht="22.5">
      <c r="A84" s="63" t="s">
        <v>89</v>
      </c>
      <c r="B84" s="61">
        <v>75022</v>
      </c>
      <c r="C84" s="611">
        <v>4750</v>
      </c>
      <c r="D84" s="95" t="s">
        <v>174</v>
      </c>
      <c r="E84" s="108">
        <v>1000</v>
      </c>
      <c r="F84" s="445">
        <v>0</v>
      </c>
      <c r="G84" s="790">
        <v>0</v>
      </c>
      <c r="H84" s="428">
        <f>G84/E84</f>
        <v>0</v>
      </c>
      <c r="I84" s="193" t="s">
        <v>98</v>
      </c>
    </row>
    <row r="85" spans="1:9" s="60" customFormat="1" ht="21">
      <c r="A85" s="97" t="s">
        <v>860</v>
      </c>
      <c r="B85" s="98">
        <v>75022</v>
      </c>
      <c r="C85" s="98"/>
      <c r="D85" s="99" t="s">
        <v>590</v>
      </c>
      <c r="E85" s="100">
        <f>SUM(E76:E84)</f>
        <v>174900</v>
      </c>
      <c r="F85" s="419">
        <f>SUM(F76:F84)</f>
        <v>212000</v>
      </c>
      <c r="G85" s="768">
        <f>SUM(G76:G84)</f>
        <v>251200</v>
      </c>
      <c r="H85" s="425">
        <f aca="true" t="shared" si="4" ref="H85:H107">G85/E85</f>
        <v>1.436249285305889</v>
      </c>
      <c r="I85" s="455"/>
    </row>
    <row r="86" spans="1:9" s="60" customFormat="1" ht="45">
      <c r="A86" s="63" t="s">
        <v>89</v>
      </c>
      <c r="B86" s="61">
        <v>75023</v>
      </c>
      <c r="C86" s="113">
        <v>4010</v>
      </c>
      <c r="D86" s="114" t="s">
        <v>91</v>
      </c>
      <c r="E86" s="651">
        <v>3448763</v>
      </c>
      <c r="F86" s="435">
        <v>3701000</v>
      </c>
      <c r="G86" s="602">
        <v>3610443</v>
      </c>
      <c r="H86" s="424">
        <f t="shared" si="4"/>
        <v>1.0468805771808616</v>
      </c>
      <c r="I86" s="193" t="s">
        <v>235</v>
      </c>
    </row>
    <row r="87" spans="1:9" s="60" customFormat="1" ht="12.75">
      <c r="A87" s="63" t="s">
        <v>89</v>
      </c>
      <c r="B87" s="61">
        <v>75023</v>
      </c>
      <c r="C87" s="113">
        <v>4040</v>
      </c>
      <c r="D87" s="114" t="s">
        <v>166</v>
      </c>
      <c r="E87" s="436">
        <v>238951</v>
      </c>
      <c r="F87" s="435">
        <v>250000</v>
      </c>
      <c r="G87" s="602">
        <v>275000</v>
      </c>
      <c r="H87" s="424">
        <f t="shared" si="4"/>
        <v>1.15086356617047</v>
      </c>
      <c r="I87" s="457" t="s">
        <v>140</v>
      </c>
    </row>
    <row r="88" spans="1:9" s="60" customFormat="1" ht="12.75">
      <c r="A88" s="63" t="s">
        <v>89</v>
      </c>
      <c r="B88" s="61">
        <v>75023</v>
      </c>
      <c r="C88" s="113">
        <v>4110</v>
      </c>
      <c r="D88" s="114" t="s">
        <v>93</v>
      </c>
      <c r="E88" s="651">
        <v>429000</v>
      </c>
      <c r="F88" s="435">
        <v>600000</v>
      </c>
      <c r="G88" s="602">
        <v>588619</v>
      </c>
      <c r="H88" s="424">
        <f t="shared" si="4"/>
        <v>1.372072261072261</v>
      </c>
      <c r="I88" s="457" t="s">
        <v>718</v>
      </c>
    </row>
    <row r="89" spans="1:9" s="60" customFormat="1" ht="12.75">
      <c r="A89" s="63" t="s">
        <v>89</v>
      </c>
      <c r="B89" s="61">
        <v>75023</v>
      </c>
      <c r="C89" s="113">
        <v>4120</v>
      </c>
      <c r="D89" s="114" t="s">
        <v>95</v>
      </c>
      <c r="E89" s="651">
        <v>77500</v>
      </c>
      <c r="F89" s="435">
        <v>95000</v>
      </c>
      <c r="G89" s="602">
        <v>101000</v>
      </c>
      <c r="H89" s="424">
        <f t="shared" si="4"/>
        <v>1.303225806451613</v>
      </c>
      <c r="I89" s="457" t="s">
        <v>719</v>
      </c>
    </row>
    <row r="90" spans="1:9" s="60" customFormat="1" ht="33">
      <c r="A90" s="63" t="s">
        <v>89</v>
      </c>
      <c r="B90" s="61">
        <v>75023</v>
      </c>
      <c r="C90" s="61">
        <v>4140</v>
      </c>
      <c r="D90" s="95" t="s">
        <v>167</v>
      </c>
      <c r="E90" s="82">
        <v>50000</v>
      </c>
      <c r="F90" s="390">
        <v>60000</v>
      </c>
      <c r="G90" s="598">
        <v>50000</v>
      </c>
      <c r="H90" s="424">
        <f t="shared" si="4"/>
        <v>1</v>
      </c>
      <c r="I90" s="457" t="s">
        <v>524</v>
      </c>
    </row>
    <row r="91" spans="1:9" s="60" customFormat="1" ht="12.75">
      <c r="A91" s="63" t="s">
        <v>89</v>
      </c>
      <c r="B91" s="61">
        <v>75023</v>
      </c>
      <c r="C91" s="113">
        <v>4170</v>
      </c>
      <c r="D91" s="114" t="s">
        <v>871</v>
      </c>
      <c r="E91" s="179">
        <v>240000</v>
      </c>
      <c r="F91" s="435">
        <v>270000</v>
      </c>
      <c r="G91" s="791">
        <v>270000</v>
      </c>
      <c r="H91" s="424">
        <f t="shared" si="4"/>
        <v>1.125</v>
      </c>
      <c r="I91" s="457" t="s">
        <v>140</v>
      </c>
    </row>
    <row r="92" spans="1:9" s="60" customFormat="1" ht="90">
      <c r="A92" s="63" t="s">
        <v>89</v>
      </c>
      <c r="B92" s="61">
        <v>75023</v>
      </c>
      <c r="C92" s="61">
        <v>4210</v>
      </c>
      <c r="D92" s="95" t="s">
        <v>866</v>
      </c>
      <c r="E92" s="108">
        <v>120000</v>
      </c>
      <c r="F92" s="390">
        <v>325000</v>
      </c>
      <c r="G92" s="598">
        <v>150000</v>
      </c>
      <c r="H92" s="424">
        <f t="shared" si="4"/>
        <v>1.25</v>
      </c>
      <c r="I92" s="457" t="s">
        <v>526</v>
      </c>
    </row>
    <row r="93" spans="1:9" s="60" customFormat="1" ht="22.5">
      <c r="A93" s="63" t="s">
        <v>89</v>
      </c>
      <c r="B93" s="61">
        <v>75023</v>
      </c>
      <c r="C93" s="61">
        <v>4230</v>
      </c>
      <c r="D93" s="95" t="s">
        <v>168</v>
      </c>
      <c r="E93" s="82">
        <v>500</v>
      </c>
      <c r="F93" s="390">
        <v>500</v>
      </c>
      <c r="G93" s="598">
        <v>500</v>
      </c>
      <c r="H93" s="424">
        <f t="shared" si="4"/>
        <v>1</v>
      </c>
      <c r="I93" s="457" t="s">
        <v>98</v>
      </c>
    </row>
    <row r="94" spans="1:9" s="60" customFormat="1" ht="22.5">
      <c r="A94" s="63" t="s">
        <v>89</v>
      </c>
      <c r="B94" s="61">
        <v>75023</v>
      </c>
      <c r="C94" s="61">
        <v>4260</v>
      </c>
      <c r="D94" s="95" t="s">
        <v>873</v>
      </c>
      <c r="E94" s="82">
        <v>104000</v>
      </c>
      <c r="F94" s="390">
        <v>104000</v>
      </c>
      <c r="G94" s="598">
        <v>104000</v>
      </c>
      <c r="H94" s="424">
        <f t="shared" si="4"/>
        <v>1</v>
      </c>
      <c r="I94" s="461" t="s">
        <v>819</v>
      </c>
    </row>
    <row r="95" spans="1:9" s="60" customFormat="1" ht="56.25">
      <c r="A95" s="63" t="s">
        <v>89</v>
      </c>
      <c r="B95" s="61">
        <v>75023</v>
      </c>
      <c r="C95" s="196">
        <v>4270</v>
      </c>
      <c r="D95" s="504" t="s">
        <v>867</v>
      </c>
      <c r="E95" s="647">
        <v>165000</v>
      </c>
      <c r="F95" s="505">
        <v>155000</v>
      </c>
      <c r="G95" s="778">
        <v>105000</v>
      </c>
      <c r="H95" s="506">
        <f t="shared" si="4"/>
        <v>0.6363636363636364</v>
      </c>
      <c r="I95" s="499" t="s">
        <v>527</v>
      </c>
    </row>
    <row r="96" spans="1:9" s="60" customFormat="1" ht="22.5">
      <c r="A96" s="63"/>
      <c r="B96" s="61">
        <v>75023</v>
      </c>
      <c r="C96" s="609">
        <v>4270</v>
      </c>
      <c r="D96" s="504" t="s">
        <v>867</v>
      </c>
      <c r="E96" s="203">
        <v>0</v>
      </c>
      <c r="F96" s="505">
        <v>80000</v>
      </c>
      <c r="G96" s="778">
        <v>0</v>
      </c>
      <c r="H96" s="506"/>
      <c r="I96" s="499" t="s">
        <v>11</v>
      </c>
    </row>
    <row r="97" spans="1:9" s="60" customFormat="1" ht="12.75">
      <c r="A97" s="63" t="s">
        <v>89</v>
      </c>
      <c r="B97" s="61">
        <v>75023</v>
      </c>
      <c r="C97" s="61">
        <v>4280</v>
      </c>
      <c r="D97" s="95" t="s">
        <v>169</v>
      </c>
      <c r="E97" s="82">
        <v>7700</v>
      </c>
      <c r="F97" s="390">
        <v>2500</v>
      </c>
      <c r="G97" s="603">
        <v>2500</v>
      </c>
      <c r="H97" s="424">
        <f t="shared" si="4"/>
        <v>0.3246753246753247</v>
      </c>
      <c r="I97" s="457" t="s">
        <v>716</v>
      </c>
    </row>
    <row r="98" spans="1:9" s="60" customFormat="1" ht="101.25">
      <c r="A98" s="63" t="s">
        <v>89</v>
      </c>
      <c r="B98" s="61">
        <v>75023</v>
      </c>
      <c r="C98" s="196">
        <v>4300</v>
      </c>
      <c r="D98" s="504" t="s">
        <v>863</v>
      </c>
      <c r="E98" s="203">
        <v>347800</v>
      </c>
      <c r="F98" s="505">
        <v>216000</v>
      </c>
      <c r="G98" s="778">
        <v>216000</v>
      </c>
      <c r="H98" s="506">
        <f t="shared" si="4"/>
        <v>0.621046578493387</v>
      </c>
      <c r="I98" s="499" t="s">
        <v>508</v>
      </c>
    </row>
    <row r="99" spans="1:9" s="60" customFormat="1" ht="22.5">
      <c r="A99" s="63" t="s">
        <v>89</v>
      </c>
      <c r="B99" s="61">
        <v>75023</v>
      </c>
      <c r="C99" s="196">
        <v>4300</v>
      </c>
      <c r="D99" s="504" t="s">
        <v>863</v>
      </c>
      <c r="E99" s="203">
        <v>0</v>
      </c>
      <c r="F99" s="505">
        <v>27060</v>
      </c>
      <c r="G99" s="792">
        <v>27060</v>
      </c>
      <c r="H99" s="506"/>
      <c r="I99" s="499" t="s">
        <v>129</v>
      </c>
    </row>
    <row r="100" spans="1:9" s="60" customFormat="1" ht="24" customHeight="1">
      <c r="A100" s="63" t="s">
        <v>89</v>
      </c>
      <c r="B100" s="61">
        <v>75023</v>
      </c>
      <c r="C100" s="196">
        <v>4300</v>
      </c>
      <c r="D100" s="504" t="s">
        <v>863</v>
      </c>
      <c r="E100" s="203">
        <v>0</v>
      </c>
      <c r="F100" s="505">
        <v>20000</v>
      </c>
      <c r="G100" s="778">
        <v>20000</v>
      </c>
      <c r="H100" s="506"/>
      <c r="I100" s="499" t="s">
        <v>12</v>
      </c>
    </row>
    <row r="101" spans="1:9" s="60" customFormat="1" ht="24" customHeight="1">
      <c r="A101" s="63" t="s">
        <v>89</v>
      </c>
      <c r="B101" s="61">
        <v>75023</v>
      </c>
      <c r="C101" s="196">
        <v>4300</v>
      </c>
      <c r="D101" s="504" t="s">
        <v>863</v>
      </c>
      <c r="E101" s="203">
        <v>0</v>
      </c>
      <c r="F101" s="505">
        <v>10000</v>
      </c>
      <c r="G101" s="792">
        <v>10000</v>
      </c>
      <c r="H101" s="506"/>
      <c r="I101" s="499" t="s">
        <v>141</v>
      </c>
    </row>
    <row r="102" spans="1:9" s="60" customFormat="1" ht="24" customHeight="1">
      <c r="A102" s="63" t="s">
        <v>89</v>
      </c>
      <c r="B102" s="61">
        <v>75023</v>
      </c>
      <c r="C102" s="196">
        <v>4300</v>
      </c>
      <c r="D102" s="504" t="s">
        <v>863</v>
      </c>
      <c r="E102" s="203">
        <v>0</v>
      </c>
      <c r="F102" s="505">
        <v>1500</v>
      </c>
      <c r="G102" s="778">
        <v>1500</v>
      </c>
      <c r="H102" s="506"/>
      <c r="I102" s="499" t="s">
        <v>717</v>
      </c>
    </row>
    <row r="103" spans="1:9" s="60" customFormat="1" ht="24" customHeight="1">
      <c r="A103" s="63" t="s">
        <v>89</v>
      </c>
      <c r="B103" s="61">
        <v>75023</v>
      </c>
      <c r="C103" s="196">
        <v>4300</v>
      </c>
      <c r="D103" s="504" t="s">
        <v>863</v>
      </c>
      <c r="E103" s="203">
        <v>0</v>
      </c>
      <c r="F103" s="505"/>
      <c r="G103" s="792">
        <v>58200</v>
      </c>
      <c r="H103" s="506"/>
      <c r="I103" s="499" t="s">
        <v>500</v>
      </c>
    </row>
    <row r="104" spans="1:9" s="60" customFormat="1" ht="22.5">
      <c r="A104" s="63" t="s">
        <v>89</v>
      </c>
      <c r="B104" s="61">
        <v>75023</v>
      </c>
      <c r="C104" s="61">
        <v>4350</v>
      </c>
      <c r="D104" s="95" t="s">
        <v>170</v>
      </c>
      <c r="E104" s="108">
        <v>5000</v>
      </c>
      <c r="F104" s="390">
        <v>8000</v>
      </c>
      <c r="G104" s="598">
        <v>7000</v>
      </c>
      <c r="H104" s="424">
        <f t="shared" si="4"/>
        <v>1.4</v>
      </c>
      <c r="I104" s="457" t="s">
        <v>390</v>
      </c>
    </row>
    <row r="105" spans="1:9" s="60" customFormat="1" ht="33.75">
      <c r="A105" s="63" t="s">
        <v>89</v>
      </c>
      <c r="B105" s="61">
        <v>75023</v>
      </c>
      <c r="C105" s="61">
        <v>4360</v>
      </c>
      <c r="D105" s="95" t="s">
        <v>702</v>
      </c>
      <c r="E105" s="108">
        <v>7200</v>
      </c>
      <c r="F105" s="390">
        <v>20000</v>
      </c>
      <c r="G105" s="598">
        <v>7000</v>
      </c>
      <c r="H105" s="424">
        <f t="shared" si="4"/>
        <v>0.9722222222222222</v>
      </c>
      <c r="I105" s="457" t="s">
        <v>81</v>
      </c>
    </row>
    <row r="106" spans="1:9" s="60" customFormat="1" ht="33.75">
      <c r="A106" s="63" t="s">
        <v>89</v>
      </c>
      <c r="B106" s="61">
        <v>75023</v>
      </c>
      <c r="C106" s="61">
        <v>4370</v>
      </c>
      <c r="D106" s="95" t="s">
        <v>703</v>
      </c>
      <c r="E106" s="108">
        <v>30000</v>
      </c>
      <c r="F106" s="390">
        <v>40000</v>
      </c>
      <c r="G106" s="598">
        <v>30000</v>
      </c>
      <c r="H106" s="424">
        <f t="shared" si="4"/>
        <v>1</v>
      </c>
      <c r="I106" s="457" t="s">
        <v>82</v>
      </c>
    </row>
    <row r="107" spans="1:9" s="60" customFormat="1" ht="33.75">
      <c r="A107" s="63" t="s">
        <v>89</v>
      </c>
      <c r="B107" s="61">
        <v>75023</v>
      </c>
      <c r="C107" s="61">
        <v>4390</v>
      </c>
      <c r="D107" s="95" t="s">
        <v>88</v>
      </c>
      <c r="E107" s="108">
        <v>18200</v>
      </c>
      <c r="F107" s="390"/>
      <c r="G107" s="598">
        <v>0</v>
      </c>
      <c r="H107" s="424">
        <f t="shared" si="4"/>
        <v>0</v>
      </c>
      <c r="I107" s="457" t="s">
        <v>501</v>
      </c>
    </row>
    <row r="108" spans="1:9" s="60" customFormat="1" ht="12.75">
      <c r="A108" s="63" t="s">
        <v>89</v>
      </c>
      <c r="B108" s="61">
        <v>75023</v>
      </c>
      <c r="C108" s="61">
        <v>4410</v>
      </c>
      <c r="D108" s="95" t="s">
        <v>102</v>
      </c>
      <c r="E108" s="108">
        <v>43000</v>
      </c>
      <c r="F108" s="390">
        <v>45000</v>
      </c>
      <c r="G108" s="598">
        <v>40000</v>
      </c>
      <c r="H108" s="424">
        <f aca="true" t="shared" si="5" ref="H108:H116">G108/E108</f>
        <v>0.9302325581395349</v>
      </c>
      <c r="I108" s="457" t="s">
        <v>391</v>
      </c>
    </row>
    <row r="109" spans="1:9" s="60" customFormat="1" ht="22.5">
      <c r="A109" s="63" t="s">
        <v>89</v>
      </c>
      <c r="B109" s="61">
        <v>75023</v>
      </c>
      <c r="C109" s="61">
        <v>4420</v>
      </c>
      <c r="D109" s="95" t="s">
        <v>171</v>
      </c>
      <c r="E109" s="108">
        <v>5000</v>
      </c>
      <c r="F109" s="390">
        <v>10000</v>
      </c>
      <c r="G109" s="598">
        <v>0</v>
      </c>
      <c r="H109" s="424">
        <f t="shared" si="5"/>
        <v>0</v>
      </c>
      <c r="I109" s="457" t="s">
        <v>393</v>
      </c>
    </row>
    <row r="110" spans="1:9" s="60" customFormat="1" ht="55.5">
      <c r="A110" s="63" t="s">
        <v>89</v>
      </c>
      <c r="B110" s="61">
        <v>75023</v>
      </c>
      <c r="C110" s="61">
        <v>4430</v>
      </c>
      <c r="D110" s="95" t="s">
        <v>868</v>
      </c>
      <c r="E110" s="82">
        <v>10000</v>
      </c>
      <c r="F110" s="390"/>
      <c r="G110" s="598">
        <v>10000</v>
      </c>
      <c r="H110" s="424">
        <f t="shared" si="5"/>
        <v>1</v>
      </c>
      <c r="I110" s="612" t="s">
        <v>25</v>
      </c>
    </row>
    <row r="111" spans="1:9" s="60" customFormat="1" ht="22.5">
      <c r="A111" s="63" t="s">
        <v>89</v>
      </c>
      <c r="B111" s="61">
        <v>75023</v>
      </c>
      <c r="C111" s="61">
        <v>4440</v>
      </c>
      <c r="D111" s="95" t="s">
        <v>172</v>
      </c>
      <c r="E111" s="82">
        <v>96800</v>
      </c>
      <c r="F111" s="390">
        <v>90000</v>
      </c>
      <c r="G111" s="603">
        <v>90000</v>
      </c>
      <c r="H111" s="424">
        <f t="shared" si="5"/>
        <v>0.9297520661157025</v>
      </c>
      <c r="I111" s="457" t="s">
        <v>392</v>
      </c>
    </row>
    <row r="112" spans="1:9" s="60" customFormat="1" ht="22.5">
      <c r="A112" s="63" t="s">
        <v>89</v>
      </c>
      <c r="B112" s="61">
        <v>75023</v>
      </c>
      <c r="C112" s="61">
        <v>4610</v>
      </c>
      <c r="D112" s="95" t="s">
        <v>173</v>
      </c>
      <c r="E112" s="82">
        <v>10000</v>
      </c>
      <c r="F112" s="390"/>
      <c r="G112" s="598">
        <v>5000</v>
      </c>
      <c r="H112" s="424">
        <f t="shared" si="5"/>
        <v>0.5</v>
      </c>
      <c r="I112" s="193" t="s">
        <v>26</v>
      </c>
    </row>
    <row r="113" spans="1:9" s="60" customFormat="1" ht="33.75">
      <c r="A113" s="63" t="s">
        <v>89</v>
      </c>
      <c r="B113" s="61">
        <v>75023</v>
      </c>
      <c r="C113" s="61">
        <v>4700</v>
      </c>
      <c r="D113" s="95" t="s">
        <v>103</v>
      </c>
      <c r="E113" s="108">
        <v>30000</v>
      </c>
      <c r="F113" s="390">
        <v>40000</v>
      </c>
      <c r="G113" s="598">
        <v>30000</v>
      </c>
      <c r="H113" s="424">
        <f t="shared" si="5"/>
        <v>1</v>
      </c>
      <c r="I113" s="613" t="s">
        <v>27</v>
      </c>
    </row>
    <row r="114" spans="1:9" s="60" customFormat="1" ht="22.5">
      <c r="A114" s="63" t="s">
        <v>89</v>
      </c>
      <c r="B114" s="61">
        <v>75023</v>
      </c>
      <c r="C114" s="61">
        <v>4740</v>
      </c>
      <c r="D114" s="95" t="s">
        <v>104</v>
      </c>
      <c r="E114" s="82">
        <v>10000</v>
      </c>
      <c r="F114" s="445">
        <v>0</v>
      </c>
      <c r="G114" s="790">
        <v>0</v>
      </c>
      <c r="H114" s="424">
        <f t="shared" si="5"/>
        <v>0</v>
      </c>
      <c r="I114" s="457"/>
    </row>
    <row r="115" spans="1:9" s="60" customFormat="1" ht="22.5">
      <c r="A115" s="63" t="s">
        <v>89</v>
      </c>
      <c r="B115" s="61">
        <v>75023</v>
      </c>
      <c r="C115" s="61">
        <v>4750</v>
      </c>
      <c r="D115" s="95" t="s">
        <v>174</v>
      </c>
      <c r="E115" s="647">
        <v>55000</v>
      </c>
      <c r="F115" s="445">
        <v>0</v>
      </c>
      <c r="G115" s="790">
        <v>0</v>
      </c>
      <c r="H115" s="424">
        <f t="shared" si="5"/>
        <v>0</v>
      </c>
      <c r="I115" s="457"/>
    </row>
    <row r="116" spans="1:9" s="60" customFormat="1" ht="45">
      <c r="A116" s="63" t="s">
        <v>89</v>
      </c>
      <c r="B116" s="61">
        <v>75023</v>
      </c>
      <c r="C116" s="365">
        <v>6050</v>
      </c>
      <c r="D116" s="170" t="s">
        <v>439</v>
      </c>
      <c r="E116" s="206">
        <v>200000</v>
      </c>
      <c r="F116" s="411">
        <v>666102</v>
      </c>
      <c r="G116" s="793">
        <v>200000</v>
      </c>
      <c r="H116" s="424">
        <f t="shared" si="5"/>
        <v>1</v>
      </c>
      <c r="I116" s="457" t="s">
        <v>226</v>
      </c>
    </row>
    <row r="117" spans="1:9" s="121" customFormat="1" ht="33.75">
      <c r="A117" s="207" t="s">
        <v>89</v>
      </c>
      <c r="B117" s="157">
        <v>75023</v>
      </c>
      <c r="C117" s="483">
        <v>6050</v>
      </c>
      <c r="D117" s="484" t="s">
        <v>776</v>
      </c>
      <c r="E117" s="485">
        <v>0</v>
      </c>
      <c r="F117" s="486">
        <v>20000</v>
      </c>
      <c r="G117" s="794">
        <v>20000</v>
      </c>
      <c r="H117" s="424"/>
      <c r="I117" s="457" t="s">
        <v>98</v>
      </c>
    </row>
    <row r="118" spans="1:9" s="121" customFormat="1" ht="33.75">
      <c r="A118" s="475" t="s">
        <v>89</v>
      </c>
      <c r="B118" s="476">
        <v>75023</v>
      </c>
      <c r="C118" s="477">
        <v>6050</v>
      </c>
      <c r="D118" s="478" t="s">
        <v>793</v>
      </c>
      <c r="E118" s="479">
        <v>0</v>
      </c>
      <c r="F118" s="480">
        <v>70000</v>
      </c>
      <c r="G118" s="793">
        <v>0</v>
      </c>
      <c r="H118" s="424"/>
      <c r="I118" s="457" t="s">
        <v>98</v>
      </c>
    </row>
    <row r="119" spans="1:9" s="121" customFormat="1" ht="38.25" customHeight="1">
      <c r="A119" s="481" t="s">
        <v>89</v>
      </c>
      <c r="B119" s="194">
        <v>75023</v>
      </c>
      <c r="C119" s="217">
        <v>6050</v>
      </c>
      <c r="D119" s="218" t="s">
        <v>794</v>
      </c>
      <c r="E119" s="213">
        <v>0</v>
      </c>
      <c r="F119" s="482">
        <v>30000</v>
      </c>
      <c r="G119" s="795">
        <v>0</v>
      </c>
      <c r="H119" s="424"/>
      <c r="I119" s="457" t="s">
        <v>98</v>
      </c>
    </row>
    <row r="120" spans="1:9" s="121" customFormat="1" ht="38.25" customHeight="1">
      <c r="A120" s="481" t="s">
        <v>89</v>
      </c>
      <c r="B120" s="194">
        <v>75023</v>
      </c>
      <c r="C120" s="366">
        <v>6060</v>
      </c>
      <c r="D120" s="367" t="s">
        <v>665</v>
      </c>
      <c r="E120" s="364">
        <v>30000</v>
      </c>
      <c r="F120" s="411">
        <v>0</v>
      </c>
      <c r="G120" s="793">
        <v>0</v>
      </c>
      <c r="H120" s="424">
        <f>G120/E120</f>
        <v>0</v>
      </c>
      <c r="I120" s="457" t="s">
        <v>820</v>
      </c>
    </row>
    <row r="121" spans="1:9" s="60" customFormat="1" ht="21">
      <c r="A121" s="97" t="s">
        <v>96</v>
      </c>
      <c r="B121" s="98">
        <v>75023</v>
      </c>
      <c r="C121" s="98"/>
      <c r="D121" s="99" t="s">
        <v>896</v>
      </c>
      <c r="E121" s="100">
        <f>SUM(E86:E120)</f>
        <v>5779414</v>
      </c>
      <c r="F121" s="419">
        <f>SUM(F86:F120)</f>
        <v>6956662</v>
      </c>
      <c r="G121" s="768">
        <f>SUM(G86:G120)</f>
        <v>6028822</v>
      </c>
      <c r="H121" s="425">
        <f aca="true" t="shared" si="6" ref="H121:H138">G121/E121</f>
        <v>1.0431545481946785</v>
      </c>
      <c r="I121" s="455"/>
    </row>
    <row r="122" spans="1:9" s="176" customFormat="1" ht="12.75">
      <c r="A122" s="175" t="s">
        <v>89</v>
      </c>
      <c r="B122" s="172">
        <v>75056</v>
      </c>
      <c r="C122" s="172" t="s">
        <v>756</v>
      </c>
      <c r="D122" s="174"/>
      <c r="E122" s="173">
        <v>6000</v>
      </c>
      <c r="F122" s="390"/>
      <c r="G122" s="786">
        <v>0</v>
      </c>
      <c r="H122" s="424">
        <f t="shared" si="6"/>
        <v>0</v>
      </c>
      <c r="I122" s="457" t="s">
        <v>34</v>
      </c>
    </row>
    <row r="123" spans="1:9" s="176" customFormat="1" ht="12.75">
      <c r="A123" s="175"/>
      <c r="B123" s="172"/>
      <c r="C123" s="439" t="s">
        <v>92</v>
      </c>
      <c r="D123" s="440"/>
      <c r="E123" s="437">
        <v>1139</v>
      </c>
      <c r="F123" s="435"/>
      <c r="G123" s="786">
        <v>0</v>
      </c>
      <c r="H123" s="424">
        <f t="shared" si="6"/>
        <v>0</v>
      </c>
      <c r="I123" s="457" t="s">
        <v>34</v>
      </c>
    </row>
    <row r="124" spans="1:9" s="176" customFormat="1" ht="12.75">
      <c r="A124" s="175"/>
      <c r="B124" s="172"/>
      <c r="C124" s="439" t="s">
        <v>94</v>
      </c>
      <c r="D124" s="440"/>
      <c r="E124" s="437">
        <v>183</v>
      </c>
      <c r="F124" s="435"/>
      <c r="G124" s="786">
        <v>0</v>
      </c>
      <c r="H124" s="424">
        <f t="shared" si="6"/>
        <v>0</v>
      </c>
      <c r="I124" s="457" t="s">
        <v>34</v>
      </c>
    </row>
    <row r="125" spans="1:9" s="176" customFormat="1" ht="12.75">
      <c r="A125" s="175"/>
      <c r="B125" s="172"/>
      <c r="C125" s="439" t="s">
        <v>580</v>
      </c>
      <c r="D125" s="440"/>
      <c r="E125" s="437">
        <v>1503</v>
      </c>
      <c r="F125" s="435"/>
      <c r="G125" s="786">
        <v>0</v>
      </c>
      <c r="H125" s="424">
        <f t="shared" si="6"/>
        <v>0</v>
      </c>
      <c r="I125" s="457" t="s">
        <v>34</v>
      </c>
    </row>
    <row r="126" spans="1:9" s="176" customFormat="1" ht="12.75">
      <c r="A126" s="175"/>
      <c r="B126" s="172"/>
      <c r="C126" s="172" t="s">
        <v>581</v>
      </c>
      <c r="D126" s="174"/>
      <c r="E126" s="173">
        <v>250</v>
      </c>
      <c r="F126" s="390"/>
      <c r="G126" s="786">
        <v>0</v>
      </c>
      <c r="H126" s="424">
        <f t="shared" si="6"/>
        <v>0</v>
      </c>
      <c r="I126" s="457" t="s">
        <v>34</v>
      </c>
    </row>
    <row r="127" spans="1:9" s="176" customFormat="1" ht="12.75">
      <c r="A127" s="175"/>
      <c r="B127" s="172"/>
      <c r="C127" s="172" t="s">
        <v>757</v>
      </c>
      <c r="D127" s="174"/>
      <c r="E127" s="173">
        <v>200</v>
      </c>
      <c r="F127" s="390"/>
      <c r="G127" s="786">
        <v>0</v>
      </c>
      <c r="H127" s="424">
        <f t="shared" si="6"/>
        <v>0</v>
      </c>
      <c r="I127" s="457" t="s">
        <v>34</v>
      </c>
    </row>
    <row r="128" spans="1:9" s="176" customFormat="1" ht="12.75">
      <c r="A128" s="175"/>
      <c r="B128" s="172"/>
      <c r="C128" s="172" t="s">
        <v>818</v>
      </c>
      <c r="D128" s="174"/>
      <c r="E128" s="173">
        <v>100</v>
      </c>
      <c r="F128" s="445">
        <v>0</v>
      </c>
      <c r="G128" s="604">
        <v>0</v>
      </c>
      <c r="H128" s="424">
        <f t="shared" si="6"/>
        <v>0</v>
      </c>
      <c r="I128" s="457" t="s">
        <v>34</v>
      </c>
    </row>
    <row r="129" spans="1:9" s="176" customFormat="1" ht="12.75">
      <c r="A129" s="175"/>
      <c r="B129" s="172"/>
      <c r="C129" s="172" t="s">
        <v>759</v>
      </c>
      <c r="D129" s="174"/>
      <c r="E129" s="173">
        <v>250</v>
      </c>
      <c r="F129" s="445">
        <v>0</v>
      </c>
      <c r="G129" s="604">
        <v>0</v>
      </c>
      <c r="H129" s="424">
        <f t="shared" si="6"/>
        <v>0</v>
      </c>
      <c r="I129" s="457" t="s">
        <v>34</v>
      </c>
    </row>
    <row r="130" spans="1:9" s="60" customFormat="1" ht="12.75">
      <c r="A130" s="97" t="s">
        <v>96</v>
      </c>
      <c r="B130" s="98">
        <v>75056</v>
      </c>
      <c r="C130" s="98"/>
      <c r="D130" s="99" t="s">
        <v>205</v>
      </c>
      <c r="E130" s="100">
        <f>SUM(E122:E129)</f>
        <v>9625</v>
      </c>
      <c r="F130" s="419">
        <f>SUM(F122:F129)</f>
        <v>0</v>
      </c>
      <c r="G130" s="768">
        <f>SUM(G122:G129)</f>
        <v>0</v>
      </c>
      <c r="H130" s="425">
        <f>G130/E130</f>
        <v>0</v>
      </c>
      <c r="I130" s="455"/>
    </row>
    <row r="131" spans="1:9" s="60" customFormat="1" ht="12.75">
      <c r="A131" s="63" t="s">
        <v>89</v>
      </c>
      <c r="B131" s="61">
        <v>75075</v>
      </c>
      <c r="C131" s="113">
        <v>4170</v>
      </c>
      <c r="D131" s="114" t="s">
        <v>871</v>
      </c>
      <c r="E131" s="179">
        <v>6000</v>
      </c>
      <c r="F131" s="435">
        <v>0</v>
      </c>
      <c r="G131" s="602">
        <v>0</v>
      </c>
      <c r="H131" s="424">
        <f t="shared" si="6"/>
        <v>0</v>
      </c>
      <c r="I131" s="614" t="s">
        <v>541</v>
      </c>
    </row>
    <row r="132" spans="1:9" s="60" customFormat="1" ht="31.5">
      <c r="A132" s="63" t="s">
        <v>89</v>
      </c>
      <c r="B132" s="61">
        <v>75075</v>
      </c>
      <c r="C132" s="61">
        <v>4210</v>
      </c>
      <c r="D132" s="95" t="s">
        <v>866</v>
      </c>
      <c r="E132" s="203">
        <v>73000</v>
      </c>
      <c r="F132" s="390"/>
      <c r="G132" s="598">
        <v>20000</v>
      </c>
      <c r="H132" s="429">
        <f t="shared" si="6"/>
        <v>0.273972602739726</v>
      </c>
      <c r="I132" s="614" t="s">
        <v>492</v>
      </c>
    </row>
    <row r="133" spans="1:9" s="60" customFormat="1" ht="21">
      <c r="A133" s="63" t="s">
        <v>89</v>
      </c>
      <c r="B133" s="61">
        <v>75075</v>
      </c>
      <c r="C133" s="196">
        <v>4300</v>
      </c>
      <c r="D133" s="95" t="s">
        <v>863</v>
      </c>
      <c r="E133" s="203">
        <v>120700</v>
      </c>
      <c r="F133" s="390"/>
      <c r="G133" s="598">
        <v>50000</v>
      </c>
      <c r="H133" s="429">
        <f t="shared" si="6"/>
        <v>0.4142502071251036</v>
      </c>
      <c r="I133" s="614" t="s">
        <v>64</v>
      </c>
    </row>
    <row r="134" spans="1:9" s="60" customFormat="1" ht="12.75">
      <c r="A134" s="63" t="s">
        <v>89</v>
      </c>
      <c r="B134" s="61">
        <v>75075</v>
      </c>
      <c r="C134" s="61">
        <v>4430</v>
      </c>
      <c r="D134" s="95" t="s">
        <v>868</v>
      </c>
      <c r="E134" s="82">
        <v>2500</v>
      </c>
      <c r="F134" s="390"/>
      <c r="G134" s="598">
        <v>2500</v>
      </c>
      <c r="H134" s="429">
        <f t="shared" si="6"/>
        <v>1</v>
      </c>
      <c r="I134" s="614" t="s">
        <v>541</v>
      </c>
    </row>
    <row r="135" spans="1:9" s="60" customFormat="1" ht="21">
      <c r="A135" s="97" t="s">
        <v>860</v>
      </c>
      <c r="B135" s="98">
        <v>75075</v>
      </c>
      <c r="C135" s="98"/>
      <c r="D135" s="99" t="s">
        <v>621</v>
      </c>
      <c r="E135" s="100">
        <f>SUM(E131:E134)</f>
        <v>202200</v>
      </c>
      <c r="F135" s="419">
        <f>SUM(F131:F134)</f>
        <v>0</v>
      </c>
      <c r="G135" s="768">
        <f>SUM(G131:G134)</f>
        <v>72500</v>
      </c>
      <c r="H135" s="425">
        <f t="shared" si="6"/>
        <v>0.35855588526211674</v>
      </c>
      <c r="I135" s="455"/>
    </row>
    <row r="136" spans="1:9" s="60" customFormat="1" ht="90.75" customHeight="1">
      <c r="A136" s="63" t="s">
        <v>89</v>
      </c>
      <c r="B136" s="61">
        <v>75095</v>
      </c>
      <c r="C136" s="167">
        <v>6639</v>
      </c>
      <c r="D136" s="168" t="s">
        <v>319</v>
      </c>
      <c r="E136" s="647">
        <v>4013</v>
      </c>
      <c r="F136" s="391">
        <v>8730</v>
      </c>
      <c r="G136" s="770">
        <v>12604</v>
      </c>
      <c r="H136" s="429">
        <f t="shared" si="6"/>
        <v>3.140792424619985</v>
      </c>
      <c r="I136" s="460" t="s">
        <v>281</v>
      </c>
    </row>
    <row r="137" spans="1:9" s="60" customFormat="1" ht="12.75">
      <c r="A137" s="97" t="s">
        <v>860</v>
      </c>
      <c r="B137" s="98">
        <v>75095</v>
      </c>
      <c r="C137" s="98"/>
      <c r="D137" s="99" t="s">
        <v>51</v>
      </c>
      <c r="E137" s="100">
        <f>SUM(E136)</f>
        <v>4013</v>
      </c>
      <c r="F137" s="419">
        <f>SUM(F136)</f>
        <v>8730</v>
      </c>
      <c r="G137" s="768">
        <f>SUM(G136)</f>
        <v>12604</v>
      </c>
      <c r="H137" s="425">
        <f t="shared" si="6"/>
        <v>3.140792424619985</v>
      </c>
      <c r="I137" s="455"/>
    </row>
    <row r="138" spans="1:9" s="60" customFormat="1" ht="12.75">
      <c r="A138" s="101" t="s">
        <v>89</v>
      </c>
      <c r="B138" s="102" t="s">
        <v>474</v>
      </c>
      <c r="C138" s="102"/>
      <c r="D138" s="103" t="s">
        <v>134</v>
      </c>
      <c r="E138" s="104">
        <f>E75+E85+E121+E130+E135+E137</f>
        <v>6277625</v>
      </c>
      <c r="F138" s="743">
        <f>F75+F85+F121+F130+F135+F137</f>
        <v>7177392</v>
      </c>
      <c r="G138" s="769">
        <f>G75+G85+G121+G130+G135+G137</f>
        <v>6472599</v>
      </c>
      <c r="H138" s="423">
        <f t="shared" si="6"/>
        <v>1.0310585611596743</v>
      </c>
      <c r="I138" s="456"/>
    </row>
    <row r="139" spans="1:9" s="60" customFormat="1" ht="12.75">
      <c r="A139" s="63" t="s">
        <v>579</v>
      </c>
      <c r="B139" s="61">
        <v>75101</v>
      </c>
      <c r="C139" s="113" t="s">
        <v>90</v>
      </c>
      <c r="D139" s="114" t="s">
        <v>91</v>
      </c>
      <c r="E139" s="179">
        <v>1700</v>
      </c>
      <c r="F139" s="435">
        <v>1800</v>
      </c>
      <c r="G139" s="602">
        <v>1800</v>
      </c>
      <c r="H139" s="424">
        <f>G139/E139</f>
        <v>1.0588235294117647</v>
      </c>
      <c r="I139" s="457" t="s">
        <v>65</v>
      </c>
    </row>
    <row r="140" spans="1:9" s="111" customFormat="1" ht="12.75">
      <c r="A140" s="63" t="s">
        <v>579</v>
      </c>
      <c r="B140" s="61">
        <v>75101</v>
      </c>
      <c r="C140" s="113" t="s">
        <v>92</v>
      </c>
      <c r="D140" s="114" t="s">
        <v>93</v>
      </c>
      <c r="E140" s="179">
        <v>258</v>
      </c>
      <c r="F140" s="435">
        <v>274</v>
      </c>
      <c r="G140" s="602">
        <v>274</v>
      </c>
      <c r="H140" s="424">
        <f>G140/E140</f>
        <v>1.062015503875969</v>
      </c>
      <c r="I140" s="457" t="s">
        <v>130</v>
      </c>
    </row>
    <row r="141" spans="1:9" s="111" customFormat="1" ht="12.75">
      <c r="A141" s="63" t="s">
        <v>579</v>
      </c>
      <c r="B141" s="61">
        <v>75101</v>
      </c>
      <c r="C141" s="113" t="s">
        <v>94</v>
      </c>
      <c r="D141" s="114" t="s">
        <v>95</v>
      </c>
      <c r="E141" s="179">
        <v>41</v>
      </c>
      <c r="F141" s="435">
        <v>45</v>
      </c>
      <c r="G141" s="602">
        <v>45</v>
      </c>
      <c r="H141" s="424">
        <f>G141/E141</f>
        <v>1.0975609756097562</v>
      </c>
      <c r="I141" s="457" t="s">
        <v>542</v>
      </c>
    </row>
    <row r="142" spans="1:9" s="111" customFormat="1" ht="12.75">
      <c r="A142" s="63" t="s">
        <v>579</v>
      </c>
      <c r="B142" s="61">
        <v>75101</v>
      </c>
      <c r="C142" s="110" t="s">
        <v>581</v>
      </c>
      <c r="D142" s="95" t="s">
        <v>866</v>
      </c>
      <c r="E142" s="108">
        <v>0</v>
      </c>
      <c r="F142" s="390">
        <v>961</v>
      </c>
      <c r="G142" s="603">
        <v>961</v>
      </c>
      <c r="H142" s="424"/>
      <c r="I142" s="457" t="s">
        <v>543</v>
      </c>
    </row>
    <row r="143" spans="1:9" s="111" customFormat="1" ht="22.5">
      <c r="A143" s="63" t="s">
        <v>579</v>
      </c>
      <c r="B143" s="61">
        <v>75101</v>
      </c>
      <c r="C143" s="110" t="s">
        <v>818</v>
      </c>
      <c r="D143" s="95" t="s">
        <v>104</v>
      </c>
      <c r="E143" s="108">
        <v>1022</v>
      </c>
      <c r="F143" s="445">
        <v>0</v>
      </c>
      <c r="G143" s="790">
        <v>0</v>
      </c>
      <c r="H143" s="424">
        <f aca="true" t="shared" si="7" ref="H143:H185">G143/E143</f>
        <v>0</v>
      </c>
      <c r="I143" s="457"/>
    </row>
    <row r="144" spans="1:9" s="60" customFormat="1" ht="22.5" customHeight="1">
      <c r="A144" s="97" t="s">
        <v>860</v>
      </c>
      <c r="B144" s="98">
        <v>75101</v>
      </c>
      <c r="C144" s="98"/>
      <c r="D144" s="99" t="s">
        <v>53</v>
      </c>
      <c r="E144" s="100">
        <f>SUM(E139:E143)</f>
        <v>3021</v>
      </c>
      <c r="F144" s="419">
        <f>SUM(F139:F143)</f>
        <v>3080</v>
      </c>
      <c r="G144" s="768">
        <f>SUM(G139:G143)</f>
        <v>3080</v>
      </c>
      <c r="H144" s="425">
        <f t="shared" si="7"/>
        <v>1.0195299569678915</v>
      </c>
      <c r="I144" s="455" t="s">
        <v>128</v>
      </c>
    </row>
    <row r="145" spans="1:9" s="60" customFormat="1" ht="12.75">
      <c r="A145" s="63" t="s">
        <v>579</v>
      </c>
      <c r="B145" s="61">
        <v>75107</v>
      </c>
      <c r="C145" s="172" t="s">
        <v>666</v>
      </c>
      <c r="D145" s="174" t="s">
        <v>97</v>
      </c>
      <c r="E145" s="173">
        <v>22500</v>
      </c>
      <c r="F145" s="392"/>
      <c r="G145" s="786">
        <v>0</v>
      </c>
      <c r="H145" s="424">
        <f>G145/E145</f>
        <v>0</v>
      </c>
      <c r="I145" s="457" t="s">
        <v>34</v>
      </c>
    </row>
    <row r="146" spans="1:9" s="60" customFormat="1" ht="12.75">
      <c r="A146" s="109" t="s">
        <v>579</v>
      </c>
      <c r="B146" s="61">
        <v>75107</v>
      </c>
      <c r="C146" s="113" t="s">
        <v>580</v>
      </c>
      <c r="D146" s="114" t="s">
        <v>871</v>
      </c>
      <c r="E146" s="437">
        <v>12990</v>
      </c>
      <c r="F146" s="438"/>
      <c r="G146" s="786">
        <v>0</v>
      </c>
      <c r="H146" s="424">
        <f>G146/E146</f>
        <v>0</v>
      </c>
      <c r="I146" s="457" t="s">
        <v>34</v>
      </c>
    </row>
    <row r="147" spans="1:9" s="60" customFormat="1" ht="12.75">
      <c r="A147" s="63" t="s">
        <v>579</v>
      </c>
      <c r="B147" s="61">
        <v>75107</v>
      </c>
      <c r="C147" s="110" t="s">
        <v>581</v>
      </c>
      <c r="D147" s="95" t="s">
        <v>866</v>
      </c>
      <c r="E147" s="173">
        <v>4465</v>
      </c>
      <c r="F147" s="392"/>
      <c r="G147" s="786">
        <v>0</v>
      </c>
      <c r="H147" s="424">
        <f>G147/E147</f>
        <v>0</v>
      </c>
      <c r="I147" s="457" t="s">
        <v>34</v>
      </c>
    </row>
    <row r="148" spans="1:9" s="60" customFormat="1" ht="22.5">
      <c r="A148" s="63" t="s">
        <v>579</v>
      </c>
      <c r="B148" s="61">
        <v>75107</v>
      </c>
      <c r="C148" s="110" t="s">
        <v>818</v>
      </c>
      <c r="D148" s="95" t="s">
        <v>104</v>
      </c>
      <c r="E148" s="173">
        <v>250</v>
      </c>
      <c r="F148" s="445">
        <v>0</v>
      </c>
      <c r="G148" s="604">
        <v>0</v>
      </c>
      <c r="H148" s="424">
        <f>G148/E148</f>
        <v>0</v>
      </c>
      <c r="I148" s="457" t="s">
        <v>34</v>
      </c>
    </row>
    <row r="149" spans="1:9" s="60" customFormat="1" ht="12.75">
      <c r="A149" s="97" t="s">
        <v>860</v>
      </c>
      <c r="B149" s="98">
        <v>75107</v>
      </c>
      <c r="C149" s="98"/>
      <c r="D149" s="99" t="s">
        <v>802</v>
      </c>
      <c r="E149" s="100">
        <f>SUM(E145:E148)</f>
        <v>40205</v>
      </c>
      <c r="F149" s="419">
        <f>SUM(F145:F148)</f>
        <v>0</v>
      </c>
      <c r="G149" s="768">
        <f>SUM(G145:G148)</f>
        <v>0</v>
      </c>
      <c r="H149" s="425">
        <f>G149/E149</f>
        <v>0</v>
      </c>
      <c r="I149" s="455"/>
    </row>
    <row r="150" spans="1:9" s="60" customFormat="1" ht="12.75">
      <c r="A150" s="63" t="s">
        <v>579</v>
      </c>
      <c r="B150" s="61">
        <v>75109</v>
      </c>
      <c r="C150" s="172" t="s">
        <v>666</v>
      </c>
      <c r="D150" s="174" t="s">
        <v>97</v>
      </c>
      <c r="E150" s="173">
        <v>30410</v>
      </c>
      <c r="F150" s="392"/>
      <c r="G150" s="786">
        <v>0</v>
      </c>
      <c r="H150" s="424">
        <f t="shared" si="7"/>
        <v>0</v>
      </c>
      <c r="I150" s="457" t="s">
        <v>34</v>
      </c>
    </row>
    <row r="151" spans="1:9" s="60" customFormat="1" ht="12.75">
      <c r="A151" s="63" t="s">
        <v>579</v>
      </c>
      <c r="B151" s="61">
        <v>75109</v>
      </c>
      <c r="C151" s="113" t="s">
        <v>92</v>
      </c>
      <c r="D151" s="114" t="s">
        <v>93</v>
      </c>
      <c r="E151" s="437">
        <v>1691</v>
      </c>
      <c r="F151" s="438"/>
      <c r="G151" s="786">
        <v>0</v>
      </c>
      <c r="H151" s="424">
        <f t="shared" si="7"/>
        <v>0</v>
      </c>
      <c r="I151" s="457" t="s">
        <v>34</v>
      </c>
    </row>
    <row r="152" spans="1:9" s="60" customFormat="1" ht="12.75">
      <c r="A152" s="63" t="s">
        <v>579</v>
      </c>
      <c r="B152" s="61">
        <v>75109</v>
      </c>
      <c r="C152" s="113" t="s">
        <v>94</v>
      </c>
      <c r="D152" s="114" t="s">
        <v>95</v>
      </c>
      <c r="E152" s="437">
        <v>272</v>
      </c>
      <c r="F152" s="438"/>
      <c r="G152" s="786">
        <v>0</v>
      </c>
      <c r="H152" s="424">
        <f t="shared" si="7"/>
        <v>0</v>
      </c>
      <c r="I152" s="457" t="s">
        <v>34</v>
      </c>
    </row>
    <row r="153" spans="1:9" s="60" customFormat="1" ht="12.75">
      <c r="A153" s="109" t="s">
        <v>579</v>
      </c>
      <c r="B153" s="61">
        <v>75109</v>
      </c>
      <c r="C153" s="113" t="s">
        <v>580</v>
      </c>
      <c r="D153" s="114" t="s">
        <v>871</v>
      </c>
      <c r="E153" s="437">
        <v>14587</v>
      </c>
      <c r="F153" s="438"/>
      <c r="G153" s="786">
        <v>0</v>
      </c>
      <c r="H153" s="424">
        <f t="shared" si="7"/>
        <v>0</v>
      </c>
      <c r="I153" s="457" t="s">
        <v>34</v>
      </c>
    </row>
    <row r="154" spans="1:9" s="60" customFormat="1" ht="12.75">
      <c r="A154" s="63" t="s">
        <v>579</v>
      </c>
      <c r="B154" s="61">
        <v>75109</v>
      </c>
      <c r="C154" s="110" t="s">
        <v>581</v>
      </c>
      <c r="D154" s="95" t="s">
        <v>866</v>
      </c>
      <c r="E154" s="173">
        <v>2289</v>
      </c>
      <c r="F154" s="392"/>
      <c r="G154" s="786">
        <v>0</v>
      </c>
      <c r="H154" s="424">
        <f t="shared" si="7"/>
        <v>0</v>
      </c>
      <c r="I154" s="457" t="s">
        <v>34</v>
      </c>
    </row>
    <row r="155" spans="1:9" s="60" customFormat="1" ht="12.75">
      <c r="A155" s="63" t="s">
        <v>579</v>
      </c>
      <c r="B155" s="61">
        <v>75109</v>
      </c>
      <c r="C155" s="110" t="s">
        <v>817</v>
      </c>
      <c r="D155" s="95" t="s">
        <v>863</v>
      </c>
      <c r="E155" s="173">
        <v>4027</v>
      </c>
      <c r="F155" s="392"/>
      <c r="G155" s="786">
        <v>0</v>
      </c>
      <c r="H155" s="424">
        <f t="shared" si="7"/>
        <v>0</v>
      </c>
      <c r="I155" s="457" t="s">
        <v>34</v>
      </c>
    </row>
    <row r="156" spans="1:9" s="60" customFormat="1" ht="22.5">
      <c r="A156" s="63" t="s">
        <v>579</v>
      </c>
      <c r="B156" s="61">
        <v>75109</v>
      </c>
      <c r="C156" s="110" t="s">
        <v>818</v>
      </c>
      <c r="D156" s="95" t="s">
        <v>104</v>
      </c>
      <c r="E156" s="173">
        <v>162</v>
      </c>
      <c r="F156" s="392"/>
      <c r="G156" s="790">
        <v>0</v>
      </c>
      <c r="H156" s="424">
        <f t="shared" si="7"/>
        <v>0</v>
      </c>
      <c r="I156" s="457" t="s">
        <v>34</v>
      </c>
    </row>
    <row r="157" spans="1:9" s="60" customFormat="1" ht="46.5" customHeight="1">
      <c r="A157" s="97" t="s">
        <v>860</v>
      </c>
      <c r="B157" s="98">
        <v>75109</v>
      </c>
      <c r="C157" s="98"/>
      <c r="D157" s="99" t="s">
        <v>358</v>
      </c>
      <c r="E157" s="100">
        <f>SUM(E150:E156)</f>
        <v>53438</v>
      </c>
      <c r="F157" s="419">
        <f>SUM(F150:F156)</f>
        <v>0</v>
      </c>
      <c r="G157" s="768">
        <f>SUM(G150:G156)</f>
        <v>0</v>
      </c>
      <c r="H157" s="425">
        <f>G157/E157</f>
        <v>0</v>
      </c>
      <c r="I157" s="455"/>
    </row>
    <row r="158" spans="1:9" s="60" customFormat="1" ht="36.75" customHeight="1">
      <c r="A158" s="101" t="s">
        <v>579</v>
      </c>
      <c r="B158" s="102" t="s">
        <v>474</v>
      </c>
      <c r="C158" s="102"/>
      <c r="D158" s="103" t="s">
        <v>135</v>
      </c>
      <c r="E158" s="104">
        <f>E144+E149+E157</f>
        <v>96664</v>
      </c>
      <c r="F158" s="743">
        <f>F144+F149+F157</f>
        <v>3080</v>
      </c>
      <c r="G158" s="769">
        <f>G144+G149+G157</f>
        <v>3080</v>
      </c>
      <c r="H158" s="423">
        <f t="shared" si="7"/>
        <v>0.03186294794339154</v>
      </c>
      <c r="I158" s="456"/>
    </row>
    <row r="159" spans="1:9" s="60" customFormat="1" ht="22.5">
      <c r="A159" s="119" t="s">
        <v>803</v>
      </c>
      <c r="B159" s="120">
        <v>75212</v>
      </c>
      <c r="C159" s="110" t="s">
        <v>586</v>
      </c>
      <c r="D159" s="118" t="s">
        <v>103</v>
      </c>
      <c r="E159" s="173">
        <v>500</v>
      </c>
      <c r="F159" s="390"/>
      <c r="G159" s="786">
        <v>0</v>
      </c>
      <c r="H159" s="424">
        <f t="shared" si="7"/>
        <v>0</v>
      </c>
      <c r="I159" s="460" t="s">
        <v>34</v>
      </c>
    </row>
    <row r="160" spans="1:9" s="60" customFormat="1" ht="12.75">
      <c r="A160" s="97" t="s">
        <v>860</v>
      </c>
      <c r="B160" s="98">
        <v>75212</v>
      </c>
      <c r="C160" s="98"/>
      <c r="D160" s="99" t="s">
        <v>207</v>
      </c>
      <c r="E160" s="100">
        <f>SUM(E159)</f>
        <v>500</v>
      </c>
      <c r="F160" s="419">
        <f>SUM(F159)</f>
        <v>0</v>
      </c>
      <c r="G160" s="768">
        <f>SUM(G159)</f>
        <v>0</v>
      </c>
      <c r="H160" s="425">
        <f>G160/E160</f>
        <v>0</v>
      </c>
      <c r="I160" s="455"/>
    </row>
    <row r="161" spans="1:9" s="60" customFormat="1" ht="12.75">
      <c r="A161" s="101" t="s">
        <v>803</v>
      </c>
      <c r="B161" s="102" t="s">
        <v>474</v>
      </c>
      <c r="C161" s="102"/>
      <c r="D161" s="103" t="s">
        <v>209</v>
      </c>
      <c r="E161" s="104">
        <f>E160</f>
        <v>500</v>
      </c>
      <c r="F161" s="743">
        <f>F160</f>
        <v>0</v>
      </c>
      <c r="G161" s="769">
        <f>G160</f>
        <v>0</v>
      </c>
      <c r="H161" s="423">
        <f>G161/E161</f>
        <v>0</v>
      </c>
      <c r="I161" s="456"/>
    </row>
    <row r="162" spans="1:9" s="176" customFormat="1" ht="12.75">
      <c r="A162" s="175" t="s">
        <v>582</v>
      </c>
      <c r="B162" s="172">
        <v>75404</v>
      </c>
      <c r="C162" s="394">
        <v>3000</v>
      </c>
      <c r="D162" s="396" t="s">
        <v>62</v>
      </c>
      <c r="E162" s="181">
        <v>0</v>
      </c>
      <c r="F162" s="395"/>
      <c r="G162" s="796">
        <v>0</v>
      </c>
      <c r="H162" s="424"/>
      <c r="I162" s="459" t="s">
        <v>36</v>
      </c>
    </row>
    <row r="163" spans="1:9" s="60" customFormat="1" ht="45">
      <c r="A163" s="119" t="s">
        <v>582</v>
      </c>
      <c r="B163" s="120">
        <v>75404</v>
      </c>
      <c r="C163" s="397">
        <v>6170</v>
      </c>
      <c r="D163" s="107" t="s">
        <v>438</v>
      </c>
      <c r="E163" s="368">
        <v>25000</v>
      </c>
      <c r="F163" s="391"/>
      <c r="G163" s="773">
        <v>0</v>
      </c>
      <c r="H163" s="424">
        <f t="shared" si="7"/>
        <v>0</v>
      </c>
      <c r="I163" s="615" t="s">
        <v>36</v>
      </c>
    </row>
    <row r="164" spans="1:9" s="60" customFormat="1" ht="12.75">
      <c r="A164" s="97" t="s">
        <v>860</v>
      </c>
      <c r="B164" s="98">
        <v>75404</v>
      </c>
      <c r="C164" s="98"/>
      <c r="D164" s="99" t="s">
        <v>622</v>
      </c>
      <c r="E164" s="100">
        <f>SUM(E162:E163)</f>
        <v>25000</v>
      </c>
      <c r="F164" s="419">
        <f>SUM(F162:F163)</f>
        <v>0</v>
      </c>
      <c r="G164" s="768">
        <f>SUM(G162:G163)</f>
        <v>0</v>
      </c>
      <c r="H164" s="425">
        <f t="shared" si="7"/>
        <v>0</v>
      </c>
      <c r="I164" s="455"/>
    </row>
    <row r="165" spans="1:9" s="60" customFormat="1" ht="45">
      <c r="A165" s="63" t="s">
        <v>582</v>
      </c>
      <c r="B165" s="61">
        <v>75411</v>
      </c>
      <c r="C165" s="397">
        <v>6300</v>
      </c>
      <c r="D165" s="107" t="s">
        <v>28</v>
      </c>
      <c r="E165" s="169">
        <v>15000</v>
      </c>
      <c r="F165" s="391"/>
      <c r="G165" s="773">
        <v>0</v>
      </c>
      <c r="H165" s="429">
        <f t="shared" si="7"/>
        <v>0</v>
      </c>
      <c r="I165" s="615" t="s">
        <v>36</v>
      </c>
    </row>
    <row r="166" spans="1:9" s="60" customFormat="1" ht="21">
      <c r="A166" s="97" t="s">
        <v>860</v>
      </c>
      <c r="B166" s="98">
        <v>75411</v>
      </c>
      <c r="C166" s="98"/>
      <c r="D166" s="99" t="s">
        <v>623</v>
      </c>
      <c r="E166" s="100">
        <f>SUM(E165)</f>
        <v>15000</v>
      </c>
      <c r="F166" s="419">
        <f>SUM(F165)</f>
        <v>0</v>
      </c>
      <c r="G166" s="768">
        <f>SUM(G165)</f>
        <v>0</v>
      </c>
      <c r="H166" s="425">
        <f t="shared" si="7"/>
        <v>0</v>
      </c>
      <c r="I166" s="455"/>
    </row>
    <row r="167" spans="1:9" s="60" customFormat="1" ht="12.75">
      <c r="A167" s="63" t="s">
        <v>582</v>
      </c>
      <c r="B167" s="61">
        <v>75412</v>
      </c>
      <c r="C167" s="61">
        <v>3030</v>
      </c>
      <c r="D167" s="95" t="s">
        <v>97</v>
      </c>
      <c r="E167" s="108">
        <v>79490</v>
      </c>
      <c r="F167" s="390">
        <v>80000</v>
      </c>
      <c r="G167" s="598">
        <v>80000</v>
      </c>
      <c r="H167" s="429">
        <f t="shared" si="7"/>
        <v>1.0064159013712417</v>
      </c>
      <c r="I167" s="461" t="s">
        <v>708</v>
      </c>
    </row>
    <row r="168" spans="1:9" s="60" customFormat="1" ht="12.75">
      <c r="A168" s="63" t="s">
        <v>582</v>
      </c>
      <c r="B168" s="61">
        <v>75412</v>
      </c>
      <c r="C168" s="61">
        <v>4210</v>
      </c>
      <c r="D168" s="95" t="s">
        <v>866</v>
      </c>
      <c r="E168" s="647">
        <v>36263</v>
      </c>
      <c r="F168" s="390">
        <v>50000</v>
      </c>
      <c r="G168" s="598">
        <v>50000</v>
      </c>
      <c r="H168" s="429">
        <f t="shared" si="7"/>
        <v>1.378815872928329</v>
      </c>
      <c r="I168" s="461" t="s">
        <v>706</v>
      </c>
    </row>
    <row r="169" spans="1:9" s="60" customFormat="1" ht="22.5">
      <c r="A169" s="63" t="s">
        <v>582</v>
      </c>
      <c r="B169" s="61">
        <v>75412</v>
      </c>
      <c r="C169" s="110">
        <v>4230</v>
      </c>
      <c r="D169" s="118" t="s">
        <v>168</v>
      </c>
      <c r="E169" s="108">
        <v>500</v>
      </c>
      <c r="F169" s="390">
        <v>500</v>
      </c>
      <c r="G169" s="598">
        <v>500</v>
      </c>
      <c r="H169" s="428">
        <f t="shared" si="7"/>
        <v>1</v>
      </c>
      <c r="I169" s="461" t="s">
        <v>584</v>
      </c>
    </row>
    <row r="170" spans="1:9" s="60" customFormat="1" ht="22.5">
      <c r="A170" s="63" t="s">
        <v>582</v>
      </c>
      <c r="B170" s="61">
        <v>75412</v>
      </c>
      <c r="C170" s="61">
        <v>4260</v>
      </c>
      <c r="D170" s="95" t="s">
        <v>873</v>
      </c>
      <c r="E170" s="108">
        <v>32000</v>
      </c>
      <c r="F170" s="390">
        <v>32000</v>
      </c>
      <c r="G170" s="598">
        <v>32000</v>
      </c>
      <c r="H170" s="424">
        <f t="shared" si="7"/>
        <v>1</v>
      </c>
      <c r="I170" s="461" t="s">
        <v>30</v>
      </c>
    </row>
    <row r="171" spans="1:9" s="60" customFormat="1" ht="33.75">
      <c r="A171" s="63" t="s">
        <v>582</v>
      </c>
      <c r="B171" s="61">
        <v>75412</v>
      </c>
      <c r="C171" s="61">
        <v>4270</v>
      </c>
      <c r="D171" s="95" t="s">
        <v>867</v>
      </c>
      <c r="E171" s="108">
        <v>25000</v>
      </c>
      <c r="F171" s="390">
        <v>25000</v>
      </c>
      <c r="G171" s="598">
        <v>25000</v>
      </c>
      <c r="H171" s="424">
        <f t="shared" si="7"/>
        <v>1</v>
      </c>
      <c r="I171" s="461" t="s">
        <v>29</v>
      </c>
    </row>
    <row r="172" spans="1:9" s="60" customFormat="1" ht="12.75">
      <c r="A172" s="63" t="s">
        <v>582</v>
      </c>
      <c r="B172" s="61">
        <v>75412</v>
      </c>
      <c r="C172" s="61">
        <v>4280</v>
      </c>
      <c r="D172" s="95" t="s">
        <v>169</v>
      </c>
      <c r="E172" s="108">
        <v>2500</v>
      </c>
      <c r="F172" s="390">
        <v>2500</v>
      </c>
      <c r="G172" s="598">
        <v>2500</v>
      </c>
      <c r="H172" s="424">
        <f t="shared" si="7"/>
        <v>1</v>
      </c>
      <c r="I172" s="461" t="s">
        <v>584</v>
      </c>
    </row>
    <row r="173" spans="1:9" s="60" customFormat="1" ht="22.5">
      <c r="A173" s="63" t="s">
        <v>582</v>
      </c>
      <c r="B173" s="61">
        <v>75412</v>
      </c>
      <c r="C173" s="61">
        <v>4300</v>
      </c>
      <c r="D173" s="95" t="s">
        <v>863</v>
      </c>
      <c r="E173" s="82">
        <v>5000</v>
      </c>
      <c r="F173" s="390">
        <v>5000</v>
      </c>
      <c r="G173" s="598">
        <v>5000</v>
      </c>
      <c r="H173" s="424">
        <f t="shared" si="7"/>
        <v>1</v>
      </c>
      <c r="I173" s="461" t="s">
        <v>31</v>
      </c>
    </row>
    <row r="174" spans="1:9" s="60" customFormat="1" ht="12.75">
      <c r="A174" s="63" t="s">
        <v>582</v>
      </c>
      <c r="B174" s="61">
        <v>75412</v>
      </c>
      <c r="C174" s="61">
        <v>4350</v>
      </c>
      <c r="D174" s="95" t="s">
        <v>170</v>
      </c>
      <c r="E174" s="82">
        <v>800</v>
      </c>
      <c r="F174" s="390">
        <v>800</v>
      </c>
      <c r="G174" s="598">
        <v>800</v>
      </c>
      <c r="H174" s="424">
        <f t="shared" si="7"/>
        <v>1</v>
      </c>
      <c r="I174" s="461" t="s">
        <v>80</v>
      </c>
    </row>
    <row r="175" spans="1:9" s="60" customFormat="1" ht="33.75">
      <c r="A175" s="63" t="s">
        <v>582</v>
      </c>
      <c r="B175" s="61">
        <v>75412</v>
      </c>
      <c r="C175" s="61">
        <v>4360</v>
      </c>
      <c r="D175" s="95" t="s">
        <v>702</v>
      </c>
      <c r="E175" s="82">
        <v>300</v>
      </c>
      <c r="F175" s="390">
        <v>300</v>
      </c>
      <c r="G175" s="598">
        <v>300</v>
      </c>
      <c r="H175" s="424">
        <f t="shared" si="7"/>
        <v>1</v>
      </c>
      <c r="I175" s="461" t="s">
        <v>584</v>
      </c>
    </row>
    <row r="176" spans="1:9" s="60" customFormat="1" ht="33.75">
      <c r="A176" s="63" t="s">
        <v>582</v>
      </c>
      <c r="B176" s="61">
        <v>75412</v>
      </c>
      <c r="C176" s="61">
        <v>4370</v>
      </c>
      <c r="D176" s="95" t="s">
        <v>703</v>
      </c>
      <c r="E176" s="82">
        <v>2900</v>
      </c>
      <c r="F176" s="390">
        <v>4000</v>
      </c>
      <c r="G176" s="598">
        <v>2900</v>
      </c>
      <c r="H176" s="424">
        <f t="shared" si="7"/>
        <v>1</v>
      </c>
      <c r="I176" s="461" t="s">
        <v>63</v>
      </c>
    </row>
    <row r="177" spans="1:9" s="60" customFormat="1" ht="22.5">
      <c r="A177" s="63" t="s">
        <v>582</v>
      </c>
      <c r="B177" s="61">
        <v>75412</v>
      </c>
      <c r="C177" s="61">
        <v>4430</v>
      </c>
      <c r="D177" s="95" t="s">
        <v>868</v>
      </c>
      <c r="E177" s="108">
        <v>6000</v>
      </c>
      <c r="F177" s="390">
        <v>6000</v>
      </c>
      <c r="G177" s="598">
        <v>6000</v>
      </c>
      <c r="H177" s="424">
        <f t="shared" si="7"/>
        <v>1</v>
      </c>
      <c r="I177" s="461" t="s">
        <v>32</v>
      </c>
    </row>
    <row r="178" spans="1:9" s="60" customFormat="1" ht="22.5">
      <c r="A178" s="63" t="s">
        <v>582</v>
      </c>
      <c r="B178" s="61">
        <v>75412</v>
      </c>
      <c r="C178" s="61">
        <v>4700</v>
      </c>
      <c r="D178" s="95" t="s">
        <v>103</v>
      </c>
      <c r="E178" s="108">
        <v>0</v>
      </c>
      <c r="F178" s="390">
        <v>1000</v>
      </c>
      <c r="G178" s="598">
        <v>1000</v>
      </c>
      <c r="H178" s="424"/>
      <c r="I178" s="461" t="s">
        <v>707</v>
      </c>
    </row>
    <row r="179" spans="1:9" s="60" customFormat="1" ht="33.75">
      <c r="A179" s="63" t="s">
        <v>582</v>
      </c>
      <c r="B179" s="61">
        <v>75412</v>
      </c>
      <c r="C179" s="167">
        <v>6050</v>
      </c>
      <c r="D179" s="478" t="s">
        <v>230</v>
      </c>
      <c r="E179" s="647">
        <v>20037</v>
      </c>
      <c r="F179" s="391">
        <v>0</v>
      </c>
      <c r="G179" s="773">
        <v>0</v>
      </c>
      <c r="H179" s="424"/>
      <c r="I179" s="461"/>
    </row>
    <row r="180" spans="1:9" s="60" customFormat="1" ht="12.75">
      <c r="A180" s="97" t="s">
        <v>860</v>
      </c>
      <c r="B180" s="98">
        <v>75412</v>
      </c>
      <c r="C180" s="98"/>
      <c r="D180" s="99" t="s">
        <v>54</v>
      </c>
      <c r="E180" s="100">
        <f>SUM(E167:E179)</f>
        <v>210790</v>
      </c>
      <c r="F180" s="419">
        <f>SUM(F167:F179)</f>
        <v>207100</v>
      </c>
      <c r="G180" s="768">
        <f>SUM(G167:G179)</f>
        <v>206000</v>
      </c>
      <c r="H180" s="425">
        <f t="shared" si="7"/>
        <v>0.9772759618577731</v>
      </c>
      <c r="I180" s="455"/>
    </row>
    <row r="181" spans="1:9" s="60" customFormat="1" ht="22.5" customHeight="1">
      <c r="A181" s="63" t="s">
        <v>582</v>
      </c>
      <c r="B181" s="61">
        <v>75414</v>
      </c>
      <c r="C181" s="61">
        <v>4210</v>
      </c>
      <c r="D181" s="95" t="s">
        <v>866</v>
      </c>
      <c r="E181" s="108">
        <v>2000</v>
      </c>
      <c r="F181" s="390">
        <v>3100</v>
      </c>
      <c r="G181" s="598">
        <v>3100</v>
      </c>
      <c r="H181" s="424">
        <f t="shared" si="7"/>
        <v>1.55</v>
      </c>
      <c r="I181" s="457" t="s">
        <v>33</v>
      </c>
    </row>
    <row r="182" spans="1:9" s="60" customFormat="1" ht="12.75">
      <c r="A182" s="63" t="s">
        <v>582</v>
      </c>
      <c r="B182" s="61">
        <v>75414</v>
      </c>
      <c r="C182" s="61">
        <v>4270</v>
      </c>
      <c r="D182" s="95" t="s">
        <v>867</v>
      </c>
      <c r="E182" s="108">
        <v>5000</v>
      </c>
      <c r="F182" s="390">
        <v>6000</v>
      </c>
      <c r="G182" s="598">
        <v>6000</v>
      </c>
      <c r="H182" s="424">
        <f t="shared" si="7"/>
        <v>1.2</v>
      </c>
      <c r="I182" s="457" t="s">
        <v>142</v>
      </c>
    </row>
    <row r="183" spans="1:9" s="60" customFormat="1" ht="12.75">
      <c r="A183" s="63" t="s">
        <v>582</v>
      </c>
      <c r="B183" s="61">
        <v>75414</v>
      </c>
      <c r="C183" s="61">
        <v>4300</v>
      </c>
      <c r="D183" s="95" t="s">
        <v>863</v>
      </c>
      <c r="E183" s="108">
        <v>1800</v>
      </c>
      <c r="F183" s="390">
        <v>1800</v>
      </c>
      <c r="G183" s="598">
        <v>1800</v>
      </c>
      <c r="H183" s="424">
        <f t="shared" si="7"/>
        <v>1</v>
      </c>
      <c r="I183" s="457" t="s">
        <v>142</v>
      </c>
    </row>
    <row r="184" spans="1:9" s="60" customFormat="1" ht="22.5">
      <c r="A184" s="63" t="s">
        <v>582</v>
      </c>
      <c r="B184" s="61">
        <v>75414</v>
      </c>
      <c r="C184" s="61" t="s">
        <v>586</v>
      </c>
      <c r="D184" s="95" t="s">
        <v>103</v>
      </c>
      <c r="E184" s="108">
        <v>0</v>
      </c>
      <c r="F184" s="390">
        <v>0</v>
      </c>
      <c r="G184" s="786">
        <v>500</v>
      </c>
      <c r="H184" s="424"/>
      <c r="I184" s="457" t="s">
        <v>301</v>
      </c>
    </row>
    <row r="185" spans="1:9" s="60" customFormat="1" ht="22.5">
      <c r="A185" s="63" t="s">
        <v>582</v>
      </c>
      <c r="B185" s="61">
        <v>75414</v>
      </c>
      <c r="C185" s="61">
        <v>4750</v>
      </c>
      <c r="D185" s="95" t="s">
        <v>174</v>
      </c>
      <c r="E185" s="108">
        <v>1200</v>
      </c>
      <c r="F185" s="445">
        <v>0</v>
      </c>
      <c r="G185" s="604">
        <v>0</v>
      </c>
      <c r="H185" s="424">
        <f t="shared" si="7"/>
        <v>0</v>
      </c>
      <c r="I185" s="457"/>
    </row>
    <row r="186" spans="1:9" s="60" customFormat="1" ht="12.75">
      <c r="A186" s="97" t="s">
        <v>860</v>
      </c>
      <c r="B186" s="98">
        <v>75414</v>
      </c>
      <c r="C186" s="98"/>
      <c r="D186" s="99" t="s">
        <v>57</v>
      </c>
      <c r="E186" s="100">
        <f>SUM(E181:E185)</f>
        <v>10000</v>
      </c>
      <c r="F186" s="419">
        <f>SUM(F181:F185)</f>
        <v>10900</v>
      </c>
      <c r="G186" s="768">
        <f>SUM(G181:G185)</f>
        <v>11400</v>
      </c>
      <c r="H186" s="425">
        <f>G186/E186</f>
        <v>1.14</v>
      </c>
      <c r="I186" s="455"/>
    </row>
    <row r="187" spans="1:9" s="111" customFormat="1" ht="12.75">
      <c r="A187" s="109" t="s">
        <v>582</v>
      </c>
      <c r="B187" s="110">
        <v>75421</v>
      </c>
      <c r="C187" s="110">
        <v>4210</v>
      </c>
      <c r="D187" s="118" t="s">
        <v>866</v>
      </c>
      <c r="E187" s="108">
        <v>13500</v>
      </c>
      <c r="F187" s="390">
        <v>11500</v>
      </c>
      <c r="G187" s="797">
        <v>11500</v>
      </c>
      <c r="H187" s="424">
        <f>G187/E187</f>
        <v>0.8518518518518519</v>
      </c>
      <c r="I187" s="457" t="s">
        <v>142</v>
      </c>
    </row>
    <row r="188" spans="1:9" s="60" customFormat="1" ht="12.75">
      <c r="A188" s="63" t="s">
        <v>582</v>
      </c>
      <c r="B188" s="61">
        <v>75421</v>
      </c>
      <c r="C188" s="61">
        <v>4300</v>
      </c>
      <c r="D188" s="95" t="s">
        <v>863</v>
      </c>
      <c r="E188" s="108">
        <v>5000</v>
      </c>
      <c r="F188" s="390">
        <v>5000</v>
      </c>
      <c r="G188" s="798">
        <v>5000</v>
      </c>
      <c r="H188" s="424">
        <f>G188/E188</f>
        <v>1</v>
      </c>
      <c r="I188" s="457" t="s">
        <v>142</v>
      </c>
    </row>
    <row r="189" spans="1:9" s="60" customFormat="1" ht="22.5">
      <c r="A189" s="63" t="s">
        <v>582</v>
      </c>
      <c r="B189" s="61">
        <v>75421</v>
      </c>
      <c r="C189" s="167">
        <v>6060</v>
      </c>
      <c r="D189" s="107" t="s">
        <v>814</v>
      </c>
      <c r="E189" s="206">
        <v>0</v>
      </c>
      <c r="F189" s="632">
        <v>0</v>
      </c>
      <c r="G189" s="799">
        <v>0</v>
      </c>
      <c r="H189" s="334"/>
      <c r="I189" s="457"/>
    </row>
    <row r="190" spans="1:9" s="60" customFormat="1" ht="12.75">
      <c r="A190" s="97" t="s">
        <v>860</v>
      </c>
      <c r="B190" s="98">
        <v>75421</v>
      </c>
      <c r="C190" s="98"/>
      <c r="D190" s="99" t="s">
        <v>624</v>
      </c>
      <c r="E190" s="100">
        <f>SUM(E187:E189)</f>
        <v>18500</v>
      </c>
      <c r="F190" s="419">
        <f>SUM(F187:F189)</f>
        <v>16500</v>
      </c>
      <c r="G190" s="768">
        <f>SUM(G187:G189)</f>
        <v>16500</v>
      </c>
      <c r="H190" s="430">
        <f aca="true" t="shared" si="8" ref="H190:H208">G190/E190</f>
        <v>0.8918918918918919</v>
      </c>
      <c r="I190" s="462"/>
    </row>
    <row r="191" spans="1:9" s="60" customFormat="1" ht="12.75">
      <c r="A191" s="63" t="s">
        <v>582</v>
      </c>
      <c r="B191" s="172">
        <v>75478</v>
      </c>
      <c r="C191" s="172" t="s">
        <v>804</v>
      </c>
      <c r="D191" s="95" t="s">
        <v>97</v>
      </c>
      <c r="E191" s="173">
        <v>18510</v>
      </c>
      <c r="F191" s="390"/>
      <c r="G191" s="605">
        <v>0</v>
      </c>
      <c r="H191" s="424">
        <f t="shared" si="8"/>
        <v>0</v>
      </c>
      <c r="I191" s="457" t="s">
        <v>34</v>
      </c>
    </row>
    <row r="192" spans="1:9" s="60" customFormat="1" ht="12.75">
      <c r="A192" s="63" t="s">
        <v>582</v>
      </c>
      <c r="B192" s="172">
        <v>75478</v>
      </c>
      <c r="C192" s="172" t="s">
        <v>585</v>
      </c>
      <c r="D192" s="118" t="s">
        <v>866</v>
      </c>
      <c r="E192" s="173">
        <v>3095</v>
      </c>
      <c r="F192" s="390"/>
      <c r="G192" s="605">
        <v>0</v>
      </c>
      <c r="H192" s="424">
        <f t="shared" si="8"/>
        <v>0</v>
      </c>
      <c r="I192" s="457" t="s">
        <v>34</v>
      </c>
    </row>
    <row r="193" spans="1:9" s="60" customFormat="1" ht="12.75">
      <c r="A193" s="63" t="s">
        <v>582</v>
      </c>
      <c r="B193" s="172">
        <v>75478</v>
      </c>
      <c r="C193" s="172" t="s">
        <v>691</v>
      </c>
      <c r="D193" s="95" t="s">
        <v>863</v>
      </c>
      <c r="E193" s="173">
        <v>11066</v>
      </c>
      <c r="F193" s="390"/>
      <c r="G193" s="605">
        <v>0</v>
      </c>
      <c r="H193" s="424">
        <f t="shared" si="8"/>
        <v>0</v>
      </c>
      <c r="I193" s="457" t="s">
        <v>34</v>
      </c>
    </row>
    <row r="194" spans="1:9" s="60" customFormat="1" ht="33.75">
      <c r="A194" s="63" t="s">
        <v>582</v>
      </c>
      <c r="B194" s="172">
        <v>75478</v>
      </c>
      <c r="C194" s="230" t="s">
        <v>805</v>
      </c>
      <c r="D194" s="233" t="s">
        <v>572</v>
      </c>
      <c r="E194" s="358">
        <v>4605</v>
      </c>
      <c r="F194" s="391"/>
      <c r="G194" s="605">
        <v>0</v>
      </c>
      <c r="H194" s="424">
        <f t="shared" si="8"/>
        <v>0</v>
      </c>
      <c r="I194" s="457" t="s">
        <v>34</v>
      </c>
    </row>
    <row r="195" spans="1:9" s="60" customFormat="1" ht="33.75">
      <c r="A195" s="63" t="s">
        <v>582</v>
      </c>
      <c r="B195" s="172">
        <v>75478</v>
      </c>
      <c r="C195" s="230">
        <v>6060</v>
      </c>
      <c r="D195" s="233" t="s">
        <v>573</v>
      </c>
      <c r="E195" s="358">
        <v>1153</v>
      </c>
      <c r="F195" s="391"/>
      <c r="G195" s="606">
        <v>0</v>
      </c>
      <c r="H195" s="424">
        <f t="shared" si="8"/>
        <v>0</v>
      </c>
      <c r="I195" s="457"/>
    </row>
    <row r="196" spans="1:9" s="60" customFormat="1" ht="12.75">
      <c r="A196" s="97" t="s">
        <v>860</v>
      </c>
      <c r="B196" s="98">
        <v>75478</v>
      </c>
      <c r="C196" s="98"/>
      <c r="D196" s="99" t="s">
        <v>208</v>
      </c>
      <c r="E196" s="100">
        <f>SUM(E191:E195)</f>
        <v>38429</v>
      </c>
      <c r="F196" s="419">
        <f>SUM(F191:F195)</f>
        <v>0</v>
      </c>
      <c r="G196" s="768">
        <f>SUM(G191:G195)</f>
        <v>0</v>
      </c>
      <c r="H196" s="424">
        <f>G196/E196</f>
        <v>0</v>
      </c>
      <c r="I196" s="457"/>
    </row>
    <row r="197" spans="1:9" s="60" customFormat="1" ht="21">
      <c r="A197" s="101" t="s">
        <v>582</v>
      </c>
      <c r="B197" s="102" t="s">
        <v>474</v>
      </c>
      <c r="C197" s="102"/>
      <c r="D197" s="103" t="s">
        <v>136</v>
      </c>
      <c r="E197" s="104">
        <f>E164+E166+E180+E186+E190+E196</f>
        <v>317719</v>
      </c>
      <c r="F197" s="743">
        <f>F164+F166+F180+F186+F190+F196</f>
        <v>234500</v>
      </c>
      <c r="G197" s="769">
        <f>G164+G166+G180+G186+G190+G196</f>
        <v>233900</v>
      </c>
      <c r="H197" s="423">
        <f t="shared" si="8"/>
        <v>0.7361851195553304</v>
      </c>
      <c r="I197" s="456"/>
    </row>
    <row r="198" spans="1:9" s="60" customFormat="1" ht="12.75">
      <c r="A198" s="63" t="s">
        <v>587</v>
      </c>
      <c r="B198" s="61">
        <v>75702</v>
      </c>
      <c r="C198" s="172">
        <v>4300</v>
      </c>
      <c r="D198" s="174" t="s">
        <v>863</v>
      </c>
      <c r="E198" s="173">
        <v>34000</v>
      </c>
      <c r="F198" s="390"/>
      <c r="G198" s="603">
        <v>4000</v>
      </c>
      <c r="H198" s="424">
        <f t="shared" si="8"/>
        <v>0.11764705882352941</v>
      </c>
      <c r="I198" s="198" t="s">
        <v>440</v>
      </c>
    </row>
    <row r="199" spans="1:9" s="111" customFormat="1" ht="33.75">
      <c r="A199" s="762" t="s">
        <v>587</v>
      </c>
      <c r="B199" s="196">
        <v>75702</v>
      </c>
      <c r="C199" s="196">
        <v>8110</v>
      </c>
      <c r="D199" s="504" t="s">
        <v>236</v>
      </c>
      <c r="E199" s="203">
        <v>1296000</v>
      </c>
      <c r="F199" s="505"/>
      <c r="G199" s="800">
        <f>G200+G201+G202+G203+G204</f>
        <v>932548</v>
      </c>
      <c r="H199" s="506">
        <f t="shared" si="8"/>
        <v>0.7195586419753086</v>
      </c>
      <c r="I199" s="761"/>
    </row>
    <row r="200" spans="1:9" s="680" customFormat="1" ht="72">
      <c r="A200" s="673"/>
      <c r="B200" s="674"/>
      <c r="C200" s="684">
        <v>8110</v>
      </c>
      <c r="D200" s="675" t="s">
        <v>237</v>
      </c>
      <c r="E200" s="676"/>
      <c r="F200" s="677"/>
      <c r="G200" s="801">
        <v>263715</v>
      </c>
      <c r="H200" s="678"/>
      <c r="I200" s="679" t="s">
        <v>232</v>
      </c>
    </row>
    <row r="201" spans="1:9" s="680" customFormat="1" ht="36">
      <c r="A201" s="673"/>
      <c r="B201" s="674"/>
      <c r="C201" s="684">
        <v>8110</v>
      </c>
      <c r="D201" s="675" t="s">
        <v>238</v>
      </c>
      <c r="E201" s="676"/>
      <c r="F201" s="677"/>
      <c r="G201" s="801">
        <v>384038</v>
      </c>
      <c r="H201" s="678"/>
      <c r="I201" s="681">
        <f>G200+G201+G202</f>
        <v>907548</v>
      </c>
    </row>
    <row r="202" spans="1:9" s="680" customFormat="1" ht="60">
      <c r="A202" s="673"/>
      <c r="B202" s="674"/>
      <c r="C202" s="684">
        <v>8110</v>
      </c>
      <c r="D202" s="675" t="s">
        <v>741</v>
      </c>
      <c r="E202" s="676"/>
      <c r="F202" s="677"/>
      <c r="G202" s="801">
        <v>259795</v>
      </c>
      <c r="H202" s="678"/>
      <c r="I202" s="679"/>
    </row>
    <row r="203" spans="1:9" s="680" customFormat="1" ht="36">
      <c r="A203" s="673"/>
      <c r="B203" s="674"/>
      <c r="C203" s="684">
        <v>8110</v>
      </c>
      <c r="D203" s="682" t="s">
        <v>742</v>
      </c>
      <c r="E203" s="676"/>
      <c r="F203" s="677"/>
      <c r="G203" s="802">
        <v>10000</v>
      </c>
      <c r="H203" s="678"/>
      <c r="I203" s="683"/>
    </row>
    <row r="204" spans="1:9" s="680" customFormat="1" ht="36">
      <c r="A204" s="673"/>
      <c r="B204" s="674"/>
      <c r="C204" s="684">
        <v>8110</v>
      </c>
      <c r="D204" s="682" t="s">
        <v>743</v>
      </c>
      <c r="E204" s="676"/>
      <c r="F204" s="677"/>
      <c r="G204" s="802">
        <v>15000</v>
      </c>
      <c r="H204" s="678"/>
      <c r="I204" s="683"/>
    </row>
    <row r="205" spans="1:9" s="60" customFormat="1" ht="21">
      <c r="A205" s="97" t="s">
        <v>860</v>
      </c>
      <c r="B205" s="98">
        <v>75702</v>
      </c>
      <c r="C205" s="98"/>
      <c r="D205" s="99" t="s">
        <v>625</v>
      </c>
      <c r="E205" s="100">
        <f>SUM(E198:E199)</f>
        <v>1330000</v>
      </c>
      <c r="F205" s="419">
        <f>SUM(F198:F199)</f>
        <v>0</v>
      </c>
      <c r="G205" s="768">
        <f>SUM(G198:G199)</f>
        <v>936548</v>
      </c>
      <c r="H205" s="425">
        <f t="shared" si="8"/>
        <v>0.7041714285714286</v>
      </c>
      <c r="I205" s="455"/>
    </row>
    <row r="206" spans="1:9" s="60" customFormat="1" ht="12.75">
      <c r="A206" s="101" t="s">
        <v>587</v>
      </c>
      <c r="B206" s="102" t="s">
        <v>474</v>
      </c>
      <c r="C206" s="102"/>
      <c r="D206" s="103" t="s">
        <v>643</v>
      </c>
      <c r="E206" s="104">
        <f>E205</f>
        <v>1330000</v>
      </c>
      <c r="F206" s="743">
        <f>F205</f>
        <v>0</v>
      </c>
      <c r="G206" s="769">
        <f>G205</f>
        <v>936548</v>
      </c>
      <c r="H206" s="423">
        <f t="shared" si="8"/>
        <v>0.7041714285714286</v>
      </c>
      <c r="I206" s="456"/>
    </row>
    <row r="207" spans="1:10" s="60" customFormat="1" ht="33.75">
      <c r="A207" s="63" t="s">
        <v>614</v>
      </c>
      <c r="B207" s="61">
        <v>75818</v>
      </c>
      <c r="C207" s="61">
        <v>4810</v>
      </c>
      <c r="D207" s="95" t="s">
        <v>219</v>
      </c>
      <c r="E207" s="108">
        <v>0</v>
      </c>
      <c r="F207" s="390">
        <v>200000</v>
      </c>
      <c r="G207" s="770">
        <v>450000</v>
      </c>
      <c r="H207" s="424"/>
      <c r="I207" s="193" t="s">
        <v>35</v>
      </c>
      <c r="J207" s="60" t="s">
        <v>342</v>
      </c>
    </row>
    <row r="208" spans="1:10" s="60" customFormat="1" ht="22.5">
      <c r="A208" s="63" t="s">
        <v>614</v>
      </c>
      <c r="B208" s="61">
        <v>75818</v>
      </c>
      <c r="C208" s="61">
        <v>4810</v>
      </c>
      <c r="D208" s="95" t="s">
        <v>472</v>
      </c>
      <c r="E208" s="108">
        <v>1000</v>
      </c>
      <c r="F208" s="390">
        <v>10000</v>
      </c>
      <c r="G208" s="770">
        <v>105000</v>
      </c>
      <c r="H208" s="424">
        <f t="shared" si="8"/>
        <v>105</v>
      </c>
      <c r="I208" s="459" t="s">
        <v>233</v>
      </c>
      <c r="J208" s="60" t="s">
        <v>341</v>
      </c>
    </row>
    <row r="209" spans="1:9" s="60" customFormat="1" ht="45">
      <c r="A209" s="63" t="s">
        <v>614</v>
      </c>
      <c r="B209" s="61">
        <v>75818</v>
      </c>
      <c r="C209" s="61">
        <v>4810</v>
      </c>
      <c r="D209" s="95" t="s">
        <v>574</v>
      </c>
      <c r="E209" s="108">
        <v>0</v>
      </c>
      <c r="F209" s="608" t="e">
        <f>#REF!+#REF!+#REF!+#REF!</f>
        <v>#REF!</v>
      </c>
      <c r="G209" s="598">
        <v>766262</v>
      </c>
      <c r="H209" s="424"/>
      <c r="I209" s="521" t="s">
        <v>13</v>
      </c>
    </row>
    <row r="210" spans="1:9" s="122" customFormat="1" ht="12.75">
      <c r="A210" s="97"/>
      <c r="B210" s="98">
        <v>75818</v>
      </c>
      <c r="C210" s="98"/>
      <c r="D210" s="99" t="s">
        <v>626</v>
      </c>
      <c r="E210" s="100">
        <f>SUM(E207:E209)</f>
        <v>1000</v>
      </c>
      <c r="F210" s="419" t="e">
        <f>SUM(F207:F209)</f>
        <v>#REF!</v>
      </c>
      <c r="G210" s="768">
        <f>SUM(G207:G209)</f>
        <v>1321262</v>
      </c>
      <c r="H210" s="738">
        <f aca="true" t="shared" si="9" ref="H210:H223">G210/E210</f>
        <v>1321.262</v>
      </c>
      <c r="I210" s="455"/>
    </row>
    <row r="211" spans="1:9" s="60" customFormat="1" ht="12.75">
      <c r="A211" s="101" t="s">
        <v>614</v>
      </c>
      <c r="B211" s="102" t="s">
        <v>474</v>
      </c>
      <c r="C211" s="102"/>
      <c r="D211" s="103" t="s">
        <v>144</v>
      </c>
      <c r="E211" s="104">
        <f>E210</f>
        <v>1000</v>
      </c>
      <c r="F211" s="743" t="e">
        <f>F210</f>
        <v>#REF!</v>
      </c>
      <c r="G211" s="769">
        <f>G210</f>
        <v>1321262</v>
      </c>
      <c r="H211" s="739">
        <f t="shared" si="9"/>
        <v>1321.262</v>
      </c>
      <c r="I211" s="456"/>
    </row>
    <row r="212" spans="1:9" s="60" customFormat="1" ht="33.75">
      <c r="A212" s="63" t="s">
        <v>673</v>
      </c>
      <c r="B212" s="61">
        <v>80101</v>
      </c>
      <c r="C212" s="61">
        <v>3020</v>
      </c>
      <c r="D212" s="95" t="s">
        <v>721</v>
      </c>
      <c r="E212" s="173">
        <v>15100</v>
      </c>
      <c r="F212" s="608" t="e">
        <f>#REF!+#REF!+#REF!+#REF!</f>
        <v>#REF!</v>
      </c>
      <c r="G212" s="603">
        <v>17202</v>
      </c>
      <c r="H212" s="424">
        <f t="shared" si="9"/>
        <v>1.139205298013245</v>
      </c>
      <c r="I212" s="192" t="s">
        <v>3</v>
      </c>
    </row>
    <row r="213" spans="1:9" s="60" customFormat="1" ht="22.5">
      <c r="A213" s="63" t="s">
        <v>673</v>
      </c>
      <c r="B213" s="61">
        <v>80101</v>
      </c>
      <c r="C213" s="113">
        <v>4170</v>
      </c>
      <c r="D213" s="114" t="s">
        <v>674</v>
      </c>
      <c r="E213" s="179">
        <v>1200</v>
      </c>
      <c r="F213" s="435">
        <v>1400</v>
      </c>
      <c r="G213" s="598">
        <v>1400</v>
      </c>
      <c r="H213" s="424">
        <f t="shared" si="9"/>
        <v>1.1666666666666667</v>
      </c>
      <c r="I213" s="193" t="s">
        <v>612</v>
      </c>
    </row>
    <row r="214" spans="1:10" s="60" customFormat="1" ht="22.5">
      <c r="A214" s="207" t="s">
        <v>673</v>
      </c>
      <c r="B214" s="157">
        <v>80101</v>
      </c>
      <c r="C214" s="157">
        <v>4270</v>
      </c>
      <c r="D214" s="158" t="s">
        <v>867</v>
      </c>
      <c r="E214" s="652">
        <v>279815</v>
      </c>
      <c r="F214" s="413">
        <v>130000</v>
      </c>
      <c r="G214" s="803">
        <v>341503</v>
      </c>
      <c r="H214" s="424">
        <f t="shared" si="9"/>
        <v>1.2204599467505317</v>
      </c>
      <c r="I214" s="640" t="s">
        <v>488</v>
      </c>
      <c r="J214" s="60" t="s">
        <v>343</v>
      </c>
    </row>
    <row r="215" spans="1:9" s="60" customFormat="1" ht="12.75">
      <c r="A215" s="276" t="s">
        <v>673</v>
      </c>
      <c r="B215" s="272">
        <v>80101</v>
      </c>
      <c r="C215" s="272">
        <v>4300</v>
      </c>
      <c r="D215" s="371" t="s">
        <v>863</v>
      </c>
      <c r="E215" s="274">
        <v>4500</v>
      </c>
      <c r="F215" s="414"/>
      <c r="G215" s="607">
        <v>4000</v>
      </c>
      <c r="H215" s="424">
        <f t="shared" si="9"/>
        <v>0.8888888888888888</v>
      </c>
      <c r="I215" s="612" t="s">
        <v>37</v>
      </c>
    </row>
    <row r="216" spans="1:9" s="60" customFormat="1" ht="56.25">
      <c r="A216" s="276" t="s">
        <v>673</v>
      </c>
      <c r="B216" s="272">
        <v>80101</v>
      </c>
      <c r="C216" s="362">
        <v>6050</v>
      </c>
      <c r="D216" s="363" t="s">
        <v>761</v>
      </c>
      <c r="E216" s="364">
        <v>375700</v>
      </c>
      <c r="F216" s="411">
        <v>0</v>
      </c>
      <c r="G216" s="804">
        <v>0</v>
      </c>
      <c r="H216" s="424">
        <f>G218/E216</f>
        <v>0.3327122704285334</v>
      </c>
      <c r="I216" s="457"/>
    </row>
    <row r="217" spans="1:9" s="60" customFormat="1" ht="56.25">
      <c r="A217" s="276" t="s">
        <v>673</v>
      </c>
      <c r="B217" s="272">
        <v>80101</v>
      </c>
      <c r="C217" s="362" t="s">
        <v>760</v>
      </c>
      <c r="D217" s="363" t="s">
        <v>250</v>
      </c>
      <c r="E217" s="364">
        <v>230900</v>
      </c>
      <c r="F217" s="411">
        <v>0</v>
      </c>
      <c r="G217" s="805">
        <v>0</v>
      </c>
      <c r="H217" s="424">
        <f t="shared" si="9"/>
        <v>0</v>
      </c>
      <c r="I217" s="457" t="s">
        <v>34</v>
      </c>
    </row>
    <row r="218" spans="1:9" s="60" customFormat="1" ht="45">
      <c r="A218" s="276" t="s">
        <v>673</v>
      </c>
      <c r="B218" s="272">
        <v>80101</v>
      </c>
      <c r="C218" s="362">
        <v>6050</v>
      </c>
      <c r="D218" s="363" t="s">
        <v>227</v>
      </c>
      <c r="E218" s="364">
        <v>0</v>
      </c>
      <c r="F218" s="411">
        <v>250000</v>
      </c>
      <c r="G218" s="781">
        <v>125000</v>
      </c>
      <c r="H218" s="424"/>
      <c r="I218" s="613" t="s">
        <v>489</v>
      </c>
    </row>
    <row r="219" spans="1:9" s="60" customFormat="1" ht="33.75">
      <c r="A219" s="276" t="s">
        <v>673</v>
      </c>
      <c r="B219" s="272">
        <v>80101</v>
      </c>
      <c r="C219" s="362">
        <v>6050</v>
      </c>
      <c r="D219" s="233" t="s">
        <v>401</v>
      </c>
      <c r="E219" s="364">
        <v>0</v>
      </c>
      <c r="F219" s="411">
        <v>25000</v>
      </c>
      <c r="G219" s="781">
        <v>0</v>
      </c>
      <c r="H219" s="424"/>
      <c r="I219" s="457"/>
    </row>
    <row r="220" spans="1:9" s="60" customFormat="1" ht="56.25">
      <c r="A220" s="276" t="s">
        <v>673</v>
      </c>
      <c r="B220" s="272">
        <v>80101</v>
      </c>
      <c r="C220" s="366">
        <v>6050</v>
      </c>
      <c r="D220" s="367" t="s">
        <v>364</v>
      </c>
      <c r="E220" s="364">
        <v>79460</v>
      </c>
      <c r="F220" s="411">
        <v>780000</v>
      </c>
      <c r="G220" s="806">
        <v>780000</v>
      </c>
      <c r="H220" s="424">
        <f>G220/E220</f>
        <v>9.81625975333501</v>
      </c>
      <c r="I220" s="457" t="s">
        <v>15</v>
      </c>
    </row>
    <row r="221" spans="1:9" s="60" customFormat="1" ht="45">
      <c r="A221" s="276" t="s">
        <v>673</v>
      </c>
      <c r="B221" s="272">
        <v>80101</v>
      </c>
      <c r="C221" s="366">
        <v>6050</v>
      </c>
      <c r="D221" s="367" t="s">
        <v>798</v>
      </c>
      <c r="E221" s="364">
        <v>403000</v>
      </c>
      <c r="F221" s="411">
        <v>0</v>
      </c>
      <c r="G221" s="807">
        <v>0</v>
      </c>
      <c r="H221" s="424">
        <f>G221/E221</f>
        <v>0</v>
      </c>
      <c r="I221" s="457"/>
    </row>
    <row r="222" spans="1:9" s="60" customFormat="1" ht="33.75">
      <c r="A222" s="276" t="s">
        <v>673</v>
      </c>
      <c r="B222" s="272">
        <v>80101</v>
      </c>
      <c r="C222" s="366">
        <v>6050</v>
      </c>
      <c r="D222" s="367" t="s">
        <v>799</v>
      </c>
      <c r="E222" s="364">
        <v>59500</v>
      </c>
      <c r="F222" s="411">
        <v>0</v>
      </c>
      <c r="G222" s="807">
        <v>0</v>
      </c>
      <c r="H222" s="424">
        <f>G222/E222</f>
        <v>0</v>
      </c>
      <c r="I222" s="457"/>
    </row>
    <row r="223" spans="1:9" s="60" customFormat="1" ht="67.5">
      <c r="A223" s="276" t="s">
        <v>673</v>
      </c>
      <c r="B223" s="272">
        <v>80101</v>
      </c>
      <c r="C223" s="366">
        <v>6050</v>
      </c>
      <c r="D223" s="367" t="s">
        <v>800</v>
      </c>
      <c r="E223" s="364">
        <v>57360</v>
      </c>
      <c r="F223" s="411">
        <v>0</v>
      </c>
      <c r="G223" s="807">
        <v>0</v>
      </c>
      <c r="H223" s="424">
        <f t="shared" si="9"/>
        <v>0</v>
      </c>
      <c r="I223" s="457"/>
    </row>
    <row r="224" spans="1:9" s="60" customFormat="1" ht="33.75">
      <c r="A224" s="276" t="s">
        <v>673</v>
      </c>
      <c r="B224" s="272">
        <v>80101</v>
      </c>
      <c r="C224" s="366">
        <v>6050</v>
      </c>
      <c r="D224" s="367" t="s">
        <v>801</v>
      </c>
      <c r="E224" s="518">
        <v>0</v>
      </c>
      <c r="F224" s="411">
        <v>250000</v>
      </c>
      <c r="G224" s="806">
        <v>250000</v>
      </c>
      <c r="H224" s="424" t="e">
        <f>G224/E224</f>
        <v>#DIV/0!</v>
      </c>
      <c r="I224" s="457" t="s">
        <v>229</v>
      </c>
    </row>
    <row r="225" spans="1:9" s="60" customFormat="1" ht="48" customHeight="1">
      <c r="A225" s="369" t="s">
        <v>673</v>
      </c>
      <c r="B225" s="370">
        <v>80101</v>
      </c>
      <c r="C225" s="372">
        <v>6050</v>
      </c>
      <c r="D225" s="373" t="s">
        <v>411</v>
      </c>
      <c r="E225" s="374">
        <v>120000</v>
      </c>
      <c r="F225" s="415">
        <v>0</v>
      </c>
      <c r="G225" s="808">
        <v>0</v>
      </c>
      <c r="H225" s="424">
        <f>G225/E225</f>
        <v>0</v>
      </c>
      <c r="I225" s="457"/>
    </row>
    <row r="226" spans="1:9" s="60" customFormat="1" ht="12.75">
      <c r="A226" s="215" t="s">
        <v>860</v>
      </c>
      <c r="B226" s="156">
        <v>80101</v>
      </c>
      <c r="C226" s="156"/>
      <c r="D226" s="160" t="s">
        <v>477</v>
      </c>
      <c r="E226" s="161">
        <f>SUM(E212:E225)</f>
        <v>1626535</v>
      </c>
      <c r="F226" s="449" t="e">
        <f>SUM(F212:F225)</f>
        <v>#REF!</v>
      </c>
      <c r="G226" s="809">
        <f>SUM(G212:G225)</f>
        <v>1519105</v>
      </c>
      <c r="H226" s="425">
        <f aca="true" t="shared" si="10" ref="H226:H238">G226/E226</f>
        <v>0.9339516210840837</v>
      </c>
      <c r="I226" s="455"/>
    </row>
    <row r="227" spans="1:9" s="60" customFormat="1" ht="56.25">
      <c r="A227" s="63" t="s">
        <v>673</v>
      </c>
      <c r="B227" s="61">
        <v>80104</v>
      </c>
      <c r="C227" s="123">
        <v>2310</v>
      </c>
      <c r="D227" s="124" t="s">
        <v>239</v>
      </c>
      <c r="E227" s="108">
        <v>403000</v>
      </c>
      <c r="F227" s="390">
        <v>500000</v>
      </c>
      <c r="G227" s="598">
        <v>500000</v>
      </c>
      <c r="H227" s="424">
        <f t="shared" si="10"/>
        <v>1.2406947890818858</v>
      </c>
      <c r="I227" s="457" t="s">
        <v>10</v>
      </c>
    </row>
    <row r="228" spans="1:9" s="60" customFormat="1" ht="45">
      <c r="A228" s="63" t="s">
        <v>673</v>
      </c>
      <c r="B228" s="61">
        <v>80104</v>
      </c>
      <c r="C228" s="123">
        <v>2540</v>
      </c>
      <c r="D228" s="124" t="s">
        <v>249</v>
      </c>
      <c r="E228" s="108">
        <v>585000</v>
      </c>
      <c r="F228" s="390">
        <v>585000</v>
      </c>
      <c r="G228" s="603">
        <v>629000</v>
      </c>
      <c r="H228" s="424">
        <f t="shared" si="10"/>
        <v>1.0752136752136752</v>
      </c>
      <c r="I228" s="550" t="s">
        <v>38</v>
      </c>
    </row>
    <row r="229" spans="1:9" s="60" customFormat="1" ht="33.75">
      <c r="A229" s="63" t="s">
        <v>673</v>
      </c>
      <c r="B229" s="61">
        <v>80104</v>
      </c>
      <c r="C229" s="123">
        <v>2540</v>
      </c>
      <c r="D229" s="124" t="s">
        <v>686</v>
      </c>
      <c r="E229" s="108">
        <v>63000</v>
      </c>
      <c r="F229" s="390">
        <v>70000</v>
      </c>
      <c r="G229" s="603">
        <v>67000</v>
      </c>
      <c r="H229" s="424">
        <f t="shared" si="10"/>
        <v>1.0634920634920635</v>
      </c>
      <c r="I229" s="550" t="s">
        <v>39</v>
      </c>
    </row>
    <row r="230" spans="1:9" s="60" customFormat="1" ht="56.25">
      <c r="A230" s="63" t="s">
        <v>673</v>
      </c>
      <c r="B230" s="61">
        <v>80104</v>
      </c>
      <c r="C230" s="123">
        <v>2590</v>
      </c>
      <c r="D230" s="124" t="s">
        <v>689</v>
      </c>
      <c r="E230" s="647">
        <v>629000</v>
      </c>
      <c r="F230" s="390">
        <v>630000</v>
      </c>
      <c r="G230" s="603">
        <v>712000</v>
      </c>
      <c r="H230" s="424">
        <f t="shared" si="10"/>
        <v>1.1319554848966613</v>
      </c>
      <c r="I230" s="550" t="s">
        <v>40</v>
      </c>
    </row>
    <row r="231" spans="1:9" s="60" customFormat="1" ht="33.75">
      <c r="A231" s="276" t="s">
        <v>673</v>
      </c>
      <c r="B231" s="272">
        <v>80104</v>
      </c>
      <c r="C231" s="362">
        <v>6050</v>
      </c>
      <c r="D231" s="363" t="s">
        <v>394</v>
      </c>
      <c r="E231" s="364">
        <v>0</v>
      </c>
      <c r="F231" s="411">
        <v>9500</v>
      </c>
      <c r="G231" s="781">
        <v>9500</v>
      </c>
      <c r="H231" s="424"/>
      <c r="I231" s="457"/>
    </row>
    <row r="232" spans="1:9" s="111" customFormat="1" ht="68.25" thickBot="1">
      <c r="A232" s="211" t="s">
        <v>673</v>
      </c>
      <c r="B232" s="212">
        <v>80104</v>
      </c>
      <c r="C232" s="389">
        <v>6050</v>
      </c>
      <c r="D232" s="216" t="s">
        <v>412</v>
      </c>
      <c r="E232" s="214">
        <v>6581</v>
      </c>
      <c r="F232" s="416">
        <v>0</v>
      </c>
      <c r="G232" s="810">
        <v>0</v>
      </c>
      <c r="H232" s="428">
        <f t="shared" si="10"/>
        <v>0</v>
      </c>
      <c r="I232" s="193"/>
    </row>
    <row r="233" spans="1:9" s="60" customFormat="1" ht="12.75">
      <c r="A233" s="215" t="s">
        <v>860</v>
      </c>
      <c r="B233" s="156">
        <v>80104</v>
      </c>
      <c r="C233" s="156"/>
      <c r="D233" s="160" t="s">
        <v>483</v>
      </c>
      <c r="E233" s="161">
        <f>SUM(E227:E232)</f>
        <v>1686581</v>
      </c>
      <c r="F233" s="449">
        <f>SUM(F227:F232)</f>
        <v>1794500</v>
      </c>
      <c r="G233" s="809">
        <f>SUM(G227:G232)</f>
        <v>1917500</v>
      </c>
      <c r="H233" s="425">
        <f t="shared" si="10"/>
        <v>1.1369154520298759</v>
      </c>
      <c r="I233" s="455"/>
    </row>
    <row r="234" spans="1:9" s="60" customFormat="1" ht="12.75">
      <c r="A234" s="63" t="s">
        <v>673</v>
      </c>
      <c r="B234" s="61">
        <v>80113</v>
      </c>
      <c r="C234" s="61">
        <v>4300</v>
      </c>
      <c r="D234" s="95" t="s">
        <v>863</v>
      </c>
      <c r="E234" s="82">
        <v>140000</v>
      </c>
      <c r="F234" s="390">
        <v>140000</v>
      </c>
      <c r="G234" s="772">
        <v>140000</v>
      </c>
      <c r="H234" s="424">
        <f t="shared" si="10"/>
        <v>1</v>
      </c>
      <c r="I234" s="193" t="s">
        <v>41</v>
      </c>
    </row>
    <row r="235" spans="1:9" s="60" customFormat="1" ht="12.75">
      <c r="A235" s="97" t="s">
        <v>860</v>
      </c>
      <c r="B235" s="98">
        <v>80113</v>
      </c>
      <c r="C235" s="98"/>
      <c r="D235" s="99" t="s">
        <v>628</v>
      </c>
      <c r="E235" s="100">
        <f>SUM(E234)</f>
        <v>140000</v>
      </c>
      <c r="F235" s="419">
        <f>SUM(F234)</f>
        <v>140000</v>
      </c>
      <c r="G235" s="768">
        <f>SUM(G234)</f>
        <v>140000</v>
      </c>
      <c r="H235" s="425">
        <f t="shared" si="10"/>
        <v>1</v>
      </c>
      <c r="I235" s="455"/>
    </row>
    <row r="236" spans="1:9" s="60" customFormat="1" ht="12.75">
      <c r="A236" s="63" t="s">
        <v>673</v>
      </c>
      <c r="B236" s="61">
        <v>80146</v>
      </c>
      <c r="C236" s="110">
        <v>4300</v>
      </c>
      <c r="D236" s="118" t="s">
        <v>863</v>
      </c>
      <c r="E236" s="82">
        <v>32500</v>
      </c>
      <c r="F236" s="390">
        <v>0</v>
      </c>
      <c r="G236" s="792">
        <v>35229</v>
      </c>
      <c r="H236" s="424">
        <f t="shared" si="10"/>
        <v>1.0839692307692308</v>
      </c>
      <c r="I236" s="551"/>
    </row>
    <row r="237" spans="1:9" s="60" customFormat="1" ht="22.5">
      <c r="A237" s="63" t="s">
        <v>673</v>
      </c>
      <c r="B237" s="61">
        <v>80146</v>
      </c>
      <c r="C237" s="61">
        <v>4700</v>
      </c>
      <c r="D237" s="95" t="s">
        <v>103</v>
      </c>
      <c r="E237" s="82">
        <v>51853</v>
      </c>
      <c r="F237" s="608" t="e">
        <f>#REF!+#REF!+#REF!+#REF!</f>
        <v>#REF!</v>
      </c>
      <c r="G237" s="792">
        <v>57000</v>
      </c>
      <c r="H237" s="424">
        <f t="shared" si="10"/>
        <v>1.0992613734981582</v>
      </c>
      <c r="I237" s="551" t="s">
        <v>864</v>
      </c>
    </row>
    <row r="238" spans="1:9" s="60" customFormat="1" ht="12.75">
      <c r="A238" s="97" t="s">
        <v>860</v>
      </c>
      <c r="B238" s="98">
        <v>80146</v>
      </c>
      <c r="C238" s="98"/>
      <c r="D238" s="99" t="s">
        <v>629</v>
      </c>
      <c r="E238" s="100">
        <f>SUM(E236:E237)</f>
        <v>84353</v>
      </c>
      <c r="F238" s="419" t="e">
        <f>SUM(F236:F237)</f>
        <v>#REF!</v>
      </c>
      <c r="G238" s="768">
        <f>SUM(G236:G237)</f>
        <v>92229</v>
      </c>
      <c r="H238" s="425">
        <f t="shared" si="10"/>
        <v>1.093369530425711</v>
      </c>
      <c r="I238" s="455"/>
    </row>
    <row r="239" spans="1:10" s="111" customFormat="1" ht="33.75">
      <c r="A239" s="63" t="s">
        <v>673</v>
      </c>
      <c r="B239" s="61">
        <v>80195</v>
      </c>
      <c r="C239" s="846">
        <v>2820</v>
      </c>
      <c r="D239" s="124" t="s">
        <v>690</v>
      </c>
      <c r="E239" s="171">
        <v>28000</v>
      </c>
      <c r="F239" s="417">
        <v>30000</v>
      </c>
      <c r="G239" s="811">
        <v>30000</v>
      </c>
      <c r="H239" s="334">
        <f aca="true" t="shared" si="11" ref="H239:H266">G239/E239</f>
        <v>1.0714285714285714</v>
      </c>
      <c r="I239" s="457" t="s">
        <v>6</v>
      </c>
      <c r="J239" s="848" t="s">
        <v>787</v>
      </c>
    </row>
    <row r="240" spans="1:9" s="60" customFormat="1" ht="12.75">
      <c r="A240" s="97" t="s">
        <v>860</v>
      </c>
      <c r="B240" s="98">
        <v>80195</v>
      </c>
      <c r="C240" s="98"/>
      <c r="D240" s="99" t="s">
        <v>51</v>
      </c>
      <c r="E240" s="100">
        <f>SUM(E239:E239)</f>
        <v>28000</v>
      </c>
      <c r="F240" s="419">
        <f>SUM(F239:F239)</f>
        <v>30000</v>
      </c>
      <c r="G240" s="768">
        <f>SUM(G239:G239)</f>
        <v>30000</v>
      </c>
      <c r="H240" s="425">
        <f t="shared" si="11"/>
        <v>1.0714285714285714</v>
      </c>
      <c r="I240" s="455"/>
    </row>
    <row r="241" spans="1:9" s="60" customFormat="1" ht="12.75">
      <c r="A241" s="101" t="s">
        <v>673</v>
      </c>
      <c r="B241" s="102" t="s">
        <v>474</v>
      </c>
      <c r="C241" s="102"/>
      <c r="D241" s="103" t="s">
        <v>145</v>
      </c>
      <c r="E241" s="104">
        <f>E226+E233+E235+E238+E240</f>
        <v>3565469</v>
      </c>
      <c r="F241" s="743" t="e">
        <f>F226+F233+F235+F238+F240</f>
        <v>#REF!</v>
      </c>
      <c r="G241" s="769">
        <f>G226+G233+G235+G238+G240</f>
        <v>3698834</v>
      </c>
      <c r="H241" s="423">
        <f t="shared" si="11"/>
        <v>1.0374046163351862</v>
      </c>
      <c r="I241" s="456"/>
    </row>
    <row r="242" spans="1:9" s="60" customFormat="1" ht="56.25">
      <c r="A242" s="63" t="s">
        <v>751</v>
      </c>
      <c r="B242" s="61">
        <v>85111</v>
      </c>
      <c r="C242" s="106">
        <v>6300</v>
      </c>
      <c r="D242" s="201" t="s">
        <v>752</v>
      </c>
      <c r="E242" s="169">
        <v>10000</v>
      </c>
      <c r="F242" s="391"/>
      <c r="G242" s="773">
        <v>10000</v>
      </c>
      <c r="H242" s="424">
        <f t="shared" si="11"/>
        <v>1</v>
      </c>
      <c r="I242" s="613" t="s">
        <v>42</v>
      </c>
    </row>
    <row r="243" spans="1:9" s="60" customFormat="1" ht="12.75">
      <c r="A243" s="97" t="s">
        <v>860</v>
      </c>
      <c r="B243" s="98">
        <v>85111</v>
      </c>
      <c r="C243" s="98"/>
      <c r="D243" s="99" t="s">
        <v>630</v>
      </c>
      <c r="E243" s="100">
        <f>SUM(E242)</f>
        <v>10000</v>
      </c>
      <c r="F243" s="419">
        <f>SUM(F242)</f>
        <v>0</v>
      </c>
      <c r="G243" s="768">
        <f>SUM(G242)</f>
        <v>10000</v>
      </c>
      <c r="H243" s="425">
        <f t="shared" si="11"/>
        <v>1</v>
      </c>
      <c r="I243" s="455"/>
    </row>
    <row r="244" spans="1:9" s="60" customFormat="1" ht="45">
      <c r="A244" s="63" t="s">
        <v>751</v>
      </c>
      <c r="B244" s="61">
        <v>85121</v>
      </c>
      <c r="C244" s="123">
        <v>2560</v>
      </c>
      <c r="D244" s="115" t="s">
        <v>753</v>
      </c>
      <c r="E244" s="82">
        <v>55000</v>
      </c>
      <c r="F244" s="390">
        <v>55000</v>
      </c>
      <c r="G244" s="603">
        <v>50000</v>
      </c>
      <c r="H244" s="424">
        <f t="shared" si="11"/>
        <v>0.9090909090909091</v>
      </c>
      <c r="I244" s="457" t="s">
        <v>4</v>
      </c>
    </row>
    <row r="245" spans="1:9" s="60" customFormat="1" ht="12.75">
      <c r="A245" s="97" t="s">
        <v>860</v>
      </c>
      <c r="B245" s="98">
        <v>85121</v>
      </c>
      <c r="C245" s="98"/>
      <c r="D245" s="99" t="s">
        <v>631</v>
      </c>
      <c r="E245" s="100">
        <f>SUM(E244:E244)</f>
        <v>55000</v>
      </c>
      <c r="F245" s="419">
        <f>SUM(F244:F244)</f>
        <v>55000</v>
      </c>
      <c r="G245" s="768">
        <f>SUM(G244:G244)</f>
        <v>50000</v>
      </c>
      <c r="H245" s="425">
        <f t="shared" si="11"/>
        <v>0.9090909090909091</v>
      </c>
      <c r="I245" s="455"/>
    </row>
    <row r="246" spans="1:9" s="60" customFormat="1" ht="33.75">
      <c r="A246" s="63" t="s">
        <v>751</v>
      </c>
      <c r="B246" s="61">
        <v>85149</v>
      </c>
      <c r="C246" s="125">
        <v>2710</v>
      </c>
      <c r="D246" s="112" t="s">
        <v>256</v>
      </c>
      <c r="E246" s="82">
        <v>0</v>
      </c>
      <c r="F246" s="390">
        <v>5000</v>
      </c>
      <c r="G246" s="598">
        <v>5000</v>
      </c>
      <c r="H246" s="424"/>
      <c r="I246" s="613" t="s">
        <v>43</v>
      </c>
    </row>
    <row r="247" spans="1:9" s="60" customFormat="1" ht="12.75">
      <c r="A247" s="97" t="s">
        <v>860</v>
      </c>
      <c r="B247" s="98">
        <v>85149</v>
      </c>
      <c r="C247" s="98"/>
      <c r="D247" s="99" t="s">
        <v>632</v>
      </c>
      <c r="E247" s="100">
        <f>SUM(E246)</f>
        <v>0</v>
      </c>
      <c r="F247" s="419">
        <f>SUM(F246)</f>
        <v>5000</v>
      </c>
      <c r="G247" s="768">
        <f>SUM(G246)</f>
        <v>5000</v>
      </c>
      <c r="H247" s="425"/>
      <c r="I247" s="455"/>
    </row>
    <row r="248" spans="1:12" s="60" customFormat="1" ht="22.5">
      <c r="A248" s="175" t="s">
        <v>751</v>
      </c>
      <c r="B248" s="172">
        <v>85153</v>
      </c>
      <c r="C248" s="439">
        <v>4170</v>
      </c>
      <c r="D248" s="440" t="s">
        <v>871</v>
      </c>
      <c r="E248" s="653">
        <v>3500</v>
      </c>
      <c r="F248" s="435">
        <v>6000</v>
      </c>
      <c r="G248" s="847">
        <v>6000</v>
      </c>
      <c r="H248" s="424">
        <f t="shared" si="11"/>
        <v>1.7142857142857142</v>
      </c>
      <c r="I248" s="193" t="s">
        <v>844</v>
      </c>
      <c r="J248" s="848" t="s">
        <v>788</v>
      </c>
      <c r="K248" s="848"/>
      <c r="L248" s="848"/>
    </row>
    <row r="249" spans="1:9" s="60" customFormat="1" ht="12.75">
      <c r="A249" s="175" t="s">
        <v>751</v>
      </c>
      <c r="B249" s="172">
        <v>85153</v>
      </c>
      <c r="C249" s="172">
        <v>4210</v>
      </c>
      <c r="D249" s="95" t="s">
        <v>866</v>
      </c>
      <c r="E249" s="173">
        <v>4000</v>
      </c>
      <c r="F249" s="390">
        <v>3000</v>
      </c>
      <c r="G249" s="603">
        <v>3000</v>
      </c>
      <c r="H249" s="424">
        <f t="shared" si="11"/>
        <v>0.75</v>
      </c>
      <c r="I249" s="193" t="s">
        <v>371</v>
      </c>
    </row>
    <row r="250" spans="1:9" s="60" customFormat="1" ht="12.75">
      <c r="A250" s="175" t="s">
        <v>751</v>
      </c>
      <c r="B250" s="172">
        <v>85153</v>
      </c>
      <c r="C250" s="172">
        <v>4300</v>
      </c>
      <c r="D250" s="95" t="s">
        <v>863</v>
      </c>
      <c r="E250" s="173">
        <v>0</v>
      </c>
      <c r="F250" s="390">
        <v>1000</v>
      </c>
      <c r="G250" s="603">
        <v>1000</v>
      </c>
      <c r="H250" s="424"/>
      <c r="I250" s="193" t="s">
        <v>371</v>
      </c>
    </row>
    <row r="251" spans="1:9" s="60" customFormat="1" ht="12.75">
      <c r="A251" s="97" t="s">
        <v>860</v>
      </c>
      <c r="B251" s="98">
        <v>85153</v>
      </c>
      <c r="C251" s="98"/>
      <c r="D251" s="99" t="s">
        <v>633</v>
      </c>
      <c r="E251" s="100">
        <f>SUM(E248:E250)</f>
        <v>7500</v>
      </c>
      <c r="F251" s="419">
        <f>SUM(F248:F250)</f>
        <v>10000</v>
      </c>
      <c r="G251" s="768">
        <f>SUM(G248:G250)</f>
        <v>10000</v>
      </c>
      <c r="H251" s="425">
        <f t="shared" si="11"/>
        <v>1.3333333333333333</v>
      </c>
      <c r="I251" s="455"/>
    </row>
    <row r="252" spans="1:10" s="60" customFormat="1" ht="33.75">
      <c r="A252" s="61">
        <v>851</v>
      </c>
      <c r="B252" s="61">
        <v>85154</v>
      </c>
      <c r="C252" s="845">
        <v>2810</v>
      </c>
      <c r="D252" s="124" t="s">
        <v>23</v>
      </c>
      <c r="E252" s="756">
        <v>0</v>
      </c>
      <c r="F252" s="757">
        <v>0</v>
      </c>
      <c r="G252" s="812">
        <v>25000</v>
      </c>
      <c r="H252" s="758"/>
      <c r="I252" s="551" t="s">
        <v>844</v>
      </c>
      <c r="J252" s="848" t="s">
        <v>787</v>
      </c>
    </row>
    <row r="253" spans="1:10" s="60" customFormat="1" ht="33.75">
      <c r="A253" s="61">
        <v>851</v>
      </c>
      <c r="B253" s="61">
        <v>85154</v>
      </c>
      <c r="C253" s="846">
        <v>2820</v>
      </c>
      <c r="D253" s="124" t="s">
        <v>690</v>
      </c>
      <c r="E253" s="181">
        <v>0</v>
      </c>
      <c r="F253" s="395">
        <v>0</v>
      </c>
      <c r="G253" s="813">
        <v>5000</v>
      </c>
      <c r="H253" s="424"/>
      <c r="I253" s="551" t="s">
        <v>216</v>
      </c>
      <c r="J253" s="848" t="s">
        <v>787</v>
      </c>
    </row>
    <row r="254" spans="1:10" s="60" customFormat="1" ht="45">
      <c r="A254" s="61">
        <v>851</v>
      </c>
      <c r="B254" s="61">
        <v>85154</v>
      </c>
      <c r="C254" s="846">
        <v>2830</v>
      </c>
      <c r="D254" s="124" t="s">
        <v>591</v>
      </c>
      <c r="E254" s="181">
        <v>21500</v>
      </c>
      <c r="F254" s="395">
        <v>60000</v>
      </c>
      <c r="G254" s="813">
        <v>30000</v>
      </c>
      <c r="H254" s="424">
        <f t="shared" si="11"/>
        <v>1.3953488372093024</v>
      </c>
      <c r="I254" s="551"/>
      <c r="J254" s="848" t="s">
        <v>787</v>
      </c>
    </row>
    <row r="255" spans="1:9" s="60" customFormat="1" ht="12.75">
      <c r="A255" s="61">
        <v>851</v>
      </c>
      <c r="B255" s="61">
        <v>85154</v>
      </c>
      <c r="C255" s="113">
        <v>4170</v>
      </c>
      <c r="D255" s="114" t="s">
        <v>871</v>
      </c>
      <c r="E255" s="437">
        <v>106135</v>
      </c>
      <c r="F255" s="435">
        <v>95000</v>
      </c>
      <c r="G255" s="602">
        <v>95000</v>
      </c>
      <c r="H255" s="424">
        <f t="shared" si="11"/>
        <v>0.8950864465068074</v>
      </c>
      <c r="I255" s="193" t="s">
        <v>16</v>
      </c>
    </row>
    <row r="256" spans="1:9" s="60" customFormat="1" ht="12.75">
      <c r="A256" s="61">
        <v>851</v>
      </c>
      <c r="B256" s="61">
        <v>85154</v>
      </c>
      <c r="C256" s="61">
        <v>4210</v>
      </c>
      <c r="D256" s="95" t="s">
        <v>866</v>
      </c>
      <c r="E256" s="173">
        <v>16828</v>
      </c>
      <c r="F256" s="390">
        <v>18200</v>
      </c>
      <c r="G256" s="603">
        <v>18200</v>
      </c>
      <c r="H256" s="424">
        <f t="shared" si="11"/>
        <v>1.08153078202995</v>
      </c>
      <c r="I256" s="193" t="s">
        <v>843</v>
      </c>
    </row>
    <row r="257" spans="1:9" s="60" customFormat="1" ht="12.75">
      <c r="A257" s="61">
        <v>851</v>
      </c>
      <c r="B257" s="61">
        <v>85154</v>
      </c>
      <c r="C257" s="61">
        <v>4220</v>
      </c>
      <c r="D257" s="95" t="s">
        <v>362</v>
      </c>
      <c r="E257" s="653">
        <v>19783</v>
      </c>
      <c r="F257" s="390">
        <v>38000</v>
      </c>
      <c r="G257" s="603">
        <v>38000</v>
      </c>
      <c r="H257" s="424">
        <f t="shared" si="11"/>
        <v>1.9208411262194813</v>
      </c>
      <c r="I257" s="193" t="s">
        <v>371</v>
      </c>
    </row>
    <row r="258" spans="1:9" s="60" customFormat="1" ht="12.75">
      <c r="A258" s="61">
        <v>851</v>
      </c>
      <c r="B258" s="61">
        <v>85154</v>
      </c>
      <c r="C258" s="61">
        <v>4260</v>
      </c>
      <c r="D258" s="95" t="s">
        <v>873</v>
      </c>
      <c r="E258" s="653">
        <v>0</v>
      </c>
      <c r="F258" s="390">
        <v>500</v>
      </c>
      <c r="G258" s="603">
        <v>500</v>
      </c>
      <c r="H258" s="424" t="e">
        <f t="shared" si="11"/>
        <v>#DIV/0!</v>
      </c>
      <c r="I258" s="193" t="s">
        <v>371</v>
      </c>
    </row>
    <row r="259" spans="1:9" s="60" customFormat="1" ht="12.75">
      <c r="A259" s="61">
        <v>851</v>
      </c>
      <c r="B259" s="61">
        <v>85154</v>
      </c>
      <c r="C259" s="61">
        <v>4270</v>
      </c>
      <c r="D259" s="95" t="s">
        <v>867</v>
      </c>
      <c r="E259" s="173">
        <v>11700</v>
      </c>
      <c r="F259" s="390">
        <v>0</v>
      </c>
      <c r="G259" s="603">
        <v>0</v>
      </c>
      <c r="H259" s="424">
        <f t="shared" si="11"/>
        <v>0</v>
      </c>
      <c r="I259" s="193" t="s">
        <v>371</v>
      </c>
    </row>
    <row r="260" spans="1:9" s="60" customFormat="1" ht="12.75">
      <c r="A260" s="61">
        <v>851</v>
      </c>
      <c r="B260" s="61">
        <v>85154</v>
      </c>
      <c r="C260" s="61">
        <v>4300</v>
      </c>
      <c r="D260" s="95" t="s">
        <v>863</v>
      </c>
      <c r="E260" s="653">
        <v>8412</v>
      </c>
      <c r="F260" s="390">
        <v>6500</v>
      </c>
      <c r="G260" s="603">
        <v>6500</v>
      </c>
      <c r="H260" s="424">
        <f t="shared" si="11"/>
        <v>0.7727056585829767</v>
      </c>
      <c r="I260" s="193" t="s">
        <v>371</v>
      </c>
    </row>
    <row r="261" spans="1:9" s="60" customFormat="1" ht="33.75">
      <c r="A261" s="61">
        <v>851</v>
      </c>
      <c r="B261" s="61">
        <v>85154</v>
      </c>
      <c r="C261" s="61">
        <v>4370</v>
      </c>
      <c r="D261" s="95" t="s">
        <v>703</v>
      </c>
      <c r="E261" s="173">
        <v>700</v>
      </c>
      <c r="F261" s="390">
        <v>700</v>
      </c>
      <c r="G261" s="603">
        <v>700</v>
      </c>
      <c r="H261" s="424">
        <f t="shared" si="11"/>
        <v>1</v>
      </c>
      <c r="I261" s="193" t="s">
        <v>371</v>
      </c>
    </row>
    <row r="262" spans="1:9" s="60" customFormat="1" ht="12.75">
      <c r="A262" s="61">
        <v>851</v>
      </c>
      <c r="B262" s="61">
        <v>85154</v>
      </c>
      <c r="C262" s="61">
        <v>4410</v>
      </c>
      <c r="D262" s="95" t="s">
        <v>102</v>
      </c>
      <c r="E262" s="173">
        <v>1100</v>
      </c>
      <c r="F262" s="390">
        <v>1100</v>
      </c>
      <c r="G262" s="603">
        <v>1100</v>
      </c>
      <c r="H262" s="424">
        <f t="shared" si="11"/>
        <v>1</v>
      </c>
      <c r="I262" s="193" t="s">
        <v>371</v>
      </c>
    </row>
    <row r="263" spans="1:9" s="60" customFormat="1" ht="22.5">
      <c r="A263" s="61">
        <v>851</v>
      </c>
      <c r="B263" s="61">
        <v>85154</v>
      </c>
      <c r="C263" s="61">
        <v>4700</v>
      </c>
      <c r="D263" s="95" t="s">
        <v>103</v>
      </c>
      <c r="E263" s="173">
        <v>4700</v>
      </c>
      <c r="F263" s="390">
        <v>5000</v>
      </c>
      <c r="G263" s="603">
        <v>5000</v>
      </c>
      <c r="H263" s="424">
        <f t="shared" si="11"/>
        <v>1.0638297872340425</v>
      </c>
      <c r="I263" s="193" t="s">
        <v>371</v>
      </c>
    </row>
    <row r="264" spans="1:9" s="60" customFormat="1" ht="22.5">
      <c r="A264" s="61">
        <v>851</v>
      </c>
      <c r="B264" s="61">
        <v>85154</v>
      </c>
      <c r="C264" s="61">
        <v>4740</v>
      </c>
      <c r="D264" s="95" t="s">
        <v>104</v>
      </c>
      <c r="E264" s="653">
        <v>200</v>
      </c>
      <c r="F264" s="445">
        <v>0</v>
      </c>
      <c r="G264" s="604">
        <v>0</v>
      </c>
      <c r="H264" s="424">
        <f t="shared" si="11"/>
        <v>0</v>
      </c>
      <c r="I264" s="193"/>
    </row>
    <row r="265" spans="1:9" s="60" customFormat="1" ht="22.5">
      <c r="A265" s="61">
        <v>851</v>
      </c>
      <c r="B265" s="61">
        <v>85154</v>
      </c>
      <c r="C265" s="157">
        <v>4750</v>
      </c>
      <c r="D265" s="95" t="s">
        <v>174</v>
      </c>
      <c r="E265" s="653">
        <v>2000</v>
      </c>
      <c r="F265" s="445">
        <v>0</v>
      </c>
      <c r="G265" s="604">
        <v>0</v>
      </c>
      <c r="H265" s="424">
        <f t="shared" si="11"/>
        <v>0</v>
      </c>
      <c r="I265" s="193"/>
    </row>
    <row r="266" spans="1:9" s="60" customFormat="1" ht="12.75">
      <c r="A266" s="152" t="s">
        <v>860</v>
      </c>
      <c r="B266" s="152" t="s">
        <v>363</v>
      </c>
      <c r="C266" s="152"/>
      <c r="D266" s="153" t="s">
        <v>114</v>
      </c>
      <c r="E266" s="100">
        <f>SUM(E252:E265)</f>
        <v>193058</v>
      </c>
      <c r="F266" s="100">
        <f>SUM(F252:F265)</f>
        <v>225000</v>
      </c>
      <c r="G266" s="177">
        <f>SUM(G252:G265)</f>
        <v>225000</v>
      </c>
      <c r="H266" s="425">
        <f t="shared" si="11"/>
        <v>1.1654528690859742</v>
      </c>
      <c r="I266" s="455"/>
    </row>
    <row r="267" spans="1:10" s="60" customFormat="1" ht="33.75">
      <c r="A267" s="63" t="s">
        <v>751</v>
      </c>
      <c r="B267" s="61">
        <v>85195</v>
      </c>
      <c r="C267" s="846">
        <v>2820</v>
      </c>
      <c r="D267" s="124" t="s">
        <v>690</v>
      </c>
      <c r="E267" s="171">
        <v>2000</v>
      </c>
      <c r="F267" s="417">
        <v>0</v>
      </c>
      <c r="G267" s="814">
        <v>0</v>
      </c>
      <c r="H267" s="334">
        <f>G267/E267</f>
        <v>0</v>
      </c>
      <c r="I267" s="457" t="s">
        <v>846</v>
      </c>
      <c r="J267" s="848" t="s">
        <v>787</v>
      </c>
    </row>
    <row r="268" spans="1:9" s="111" customFormat="1" ht="12.75">
      <c r="A268" s="63" t="s">
        <v>751</v>
      </c>
      <c r="B268" s="61">
        <v>85195</v>
      </c>
      <c r="C268" s="110">
        <v>4300</v>
      </c>
      <c r="D268" s="95" t="s">
        <v>863</v>
      </c>
      <c r="E268" s="108">
        <v>2000</v>
      </c>
      <c r="F268" s="418">
        <v>4000</v>
      </c>
      <c r="G268" s="598">
        <v>4000</v>
      </c>
      <c r="H268" s="431">
        <f>G268/E268</f>
        <v>2</v>
      </c>
      <c r="I268" s="193" t="s">
        <v>845</v>
      </c>
    </row>
    <row r="269" spans="1:9" s="60" customFormat="1" ht="12.75">
      <c r="A269" s="97" t="s">
        <v>860</v>
      </c>
      <c r="B269" s="98">
        <v>85195</v>
      </c>
      <c r="C269" s="98"/>
      <c r="D269" s="99" t="s">
        <v>51</v>
      </c>
      <c r="E269" s="100">
        <f>SUM(E267:E268)</f>
        <v>4000</v>
      </c>
      <c r="F269" s="419">
        <f>SUM(F267:F268)</f>
        <v>4000</v>
      </c>
      <c r="G269" s="768">
        <f>SUM(G267:G268)</f>
        <v>4000</v>
      </c>
      <c r="H269" s="425">
        <f aca="true" t="shared" si="12" ref="H269:H278">G269/E269</f>
        <v>1</v>
      </c>
      <c r="I269" s="455"/>
    </row>
    <row r="270" spans="1:9" s="60" customFormat="1" ht="12.75">
      <c r="A270" s="101" t="s">
        <v>751</v>
      </c>
      <c r="B270" s="102" t="s">
        <v>474</v>
      </c>
      <c r="C270" s="102"/>
      <c r="D270" s="103" t="s">
        <v>146</v>
      </c>
      <c r="E270" s="104">
        <f>E243+E245+E247+E251+E266+E269</f>
        <v>269558</v>
      </c>
      <c r="F270" s="743">
        <f>F243+F245+F247+F251+F266+F269</f>
        <v>299000</v>
      </c>
      <c r="G270" s="769">
        <f>G243+G245+G247+G251+G266+G269</f>
        <v>304000</v>
      </c>
      <c r="H270" s="423">
        <f t="shared" si="12"/>
        <v>1.127772130673176</v>
      </c>
      <c r="I270" s="456"/>
    </row>
    <row r="271" spans="1:10" s="60" customFormat="1" ht="33.75">
      <c r="A271" s="63" t="s">
        <v>257</v>
      </c>
      <c r="B271" s="61">
        <v>85295</v>
      </c>
      <c r="C271" s="845">
        <v>2810</v>
      </c>
      <c r="D271" s="124" t="s">
        <v>23</v>
      </c>
      <c r="E271" s="181">
        <v>5000</v>
      </c>
      <c r="F271" s="395">
        <v>5000</v>
      </c>
      <c r="G271" s="815">
        <v>5000</v>
      </c>
      <c r="H271" s="424">
        <f>G271/E271</f>
        <v>1</v>
      </c>
      <c r="I271" s="552" t="s">
        <v>7</v>
      </c>
      <c r="J271" s="848" t="s">
        <v>787</v>
      </c>
    </row>
    <row r="272" spans="1:10" s="60" customFormat="1" ht="33.75">
      <c r="A272" s="63" t="s">
        <v>257</v>
      </c>
      <c r="B272" s="61">
        <v>85295</v>
      </c>
      <c r="C272" s="846">
        <v>2820</v>
      </c>
      <c r="D272" s="124" t="s">
        <v>690</v>
      </c>
      <c r="E272" s="171">
        <v>5000</v>
      </c>
      <c r="F272" s="417">
        <v>5000</v>
      </c>
      <c r="G272" s="816">
        <v>5000</v>
      </c>
      <c r="H272" s="334">
        <f t="shared" si="12"/>
        <v>1</v>
      </c>
      <c r="I272" s="552" t="s">
        <v>371</v>
      </c>
      <c r="J272" s="848" t="s">
        <v>787</v>
      </c>
    </row>
    <row r="273" spans="1:10" s="60" customFormat="1" ht="45">
      <c r="A273" s="63" t="s">
        <v>257</v>
      </c>
      <c r="B273" s="61">
        <v>85295</v>
      </c>
      <c r="C273" s="846">
        <v>2830</v>
      </c>
      <c r="D273" s="124" t="s">
        <v>591</v>
      </c>
      <c r="E273" s="171">
        <v>5000</v>
      </c>
      <c r="F273" s="417">
        <v>5000</v>
      </c>
      <c r="G273" s="816">
        <v>5000</v>
      </c>
      <c r="H273" s="334">
        <f t="shared" si="12"/>
        <v>1</v>
      </c>
      <c r="I273" s="552" t="s">
        <v>371</v>
      </c>
      <c r="J273" s="848" t="s">
        <v>787</v>
      </c>
    </row>
    <row r="274" spans="1:9" s="60" customFormat="1" ht="22.5">
      <c r="A274" s="63" t="s">
        <v>257</v>
      </c>
      <c r="B274" s="61">
        <v>85295</v>
      </c>
      <c r="C274" s="61">
        <v>3110</v>
      </c>
      <c r="D274" s="95" t="s">
        <v>592</v>
      </c>
      <c r="E274" s="108">
        <v>18000</v>
      </c>
      <c r="F274" s="409">
        <v>15000</v>
      </c>
      <c r="G274" s="772">
        <v>15000</v>
      </c>
      <c r="H274" s="424">
        <f t="shared" si="12"/>
        <v>0.8333333333333334</v>
      </c>
      <c r="I274" s="457" t="s">
        <v>109</v>
      </c>
    </row>
    <row r="275" spans="1:9" s="60" customFormat="1" ht="12.75">
      <c r="A275" s="97" t="s">
        <v>860</v>
      </c>
      <c r="B275" s="98">
        <v>85295</v>
      </c>
      <c r="C275" s="98"/>
      <c r="D275" s="99" t="s">
        <v>51</v>
      </c>
      <c r="E275" s="100">
        <f>SUM(E271:E274)</f>
        <v>33000</v>
      </c>
      <c r="F275" s="419">
        <f>SUM(F271:F274)</f>
        <v>30000</v>
      </c>
      <c r="G275" s="768">
        <f>SUM(G271:G274)</f>
        <v>30000</v>
      </c>
      <c r="H275" s="425">
        <f t="shared" si="12"/>
        <v>0.9090909090909091</v>
      </c>
      <c r="I275" s="455"/>
    </row>
    <row r="276" spans="1:9" s="60" customFormat="1" ht="12.75">
      <c r="A276" s="101" t="s">
        <v>257</v>
      </c>
      <c r="B276" s="102" t="s">
        <v>474</v>
      </c>
      <c r="C276" s="102"/>
      <c r="D276" s="103" t="s">
        <v>147</v>
      </c>
      <c r="E276" s="104">
        <f>E275</f>
        <v>33000</v>
      </c>
      <c r="F276" s="743">
        <f>F275</f>
        <v>30000</v>
      </c>
      <c r="G276" s="769">
        <f>G275</f>
        <v>30000</v>
      </c>
      <c r="H276" s="423">
        <f t="shared" si="12"/>
        <v>0.9090909090909091</v>
      </c>
      <c r="I276" s="456"/>
    </row>
    <row r="277" spans="1:9" s="60" customFormat="1" ht="24" customHeight="1">
      <c r="A277" s="63" t="s">
        <v>593</v>
      </c>
      <c r="B277" s="61">
        <v>85415</v>
      </c>
      <c r="C277" s="61">
        <v>3240</v>
      </c>
      <c r="D277" s="95" t="s">
        <v>594</v>
      </c>
      <c r="E277" s="108">
        <v>8320</v>
      </c>
      <c r="F277" s="390">
        <v>0</v>
      </c>
      <c r="G277" s="603">
        <v>0</v>
      </c>
      <c r="H277" s="424">
        <f t="shared" si="12"/>
        <v>0</v>
      </c>
      <c r="I277" s="457" t="s">
        <v>5</v>
      </c>
    </row>
    <row r="278" spans="1:9" s="60" customFormat="1" ht="12.75">
      <c r="A278" s="63" t="s">
        <v>593</v>
      </c>
      <c r="B278" s="61">
        <v>85415</v>
      </c>
      <c r="C278" s="61">
        <v>3260</v>
      </c>
      <c r="D278" s="95" t="s">
        <v>509</v>
      </c>
      <c r="E278" s="108">
        <v>560</v>
      </c>
      <c r="F278" s="390">
        <v>0</v>
      </c>
      <c r="G278" s="603">
        <v>0</v>
      </c>
      <c r="H278" s="424">
        <f t="shared" si="12"/>
        <v>0</v>
      </c>
      <c r="I278" s="457" t="s">
        <v>5</v>
      </c>
    </row>
    <row r="279" spans="1:9" s="60" customFormat="1" ht="22.5">
      <c r="A279" s="109" t="s">
        <v>593</v>
      </c>
      <c r="B279" s="110">
        <v>85415</v>
      </c>
      <c r="C279" s="178" t="s">
        <v>595</v>
      </c>
      <c r="D279" s="118" t="s">
        <v>596</v>
      </c>
      <c r="E279" s="647">
        <v>9950</v>
      </c>
      <c r="F279" s="390"/>
      <c r="G279" s="605">
        <v>0</v>
      </c>
      <c r="H279" s="428">
        <f aca="true" t="shared" si="13" ref="H279:H296">G279/E279</f>
        <v>0</v>
      </c>
      <c r="I279" s="193" t="s">
        <v>34</v>
      </c>
    </row>
    <row r="280" spans="1:9" s="60" customFormat="1" ht="12.75">
      <c r="A280" s="97" t="s">
        <v>860</v>
      </c>
      <c r="B280" s="98">
        <v>85415</v>
      </c>
      <c r="C280" s="98"/>
      <c r="D280" s="99" t="s">
        <v>120</v>
      </c>
      <c r="E280" s="100">
        <f>SUM(E277:E279)</f>
        <v>18830</v>
      </c>
      <c r="F280" s="419">
        <f>SUM(F277:F279)</f>
        <v>0</v>
      </c>
      <c r="G280" s="768">
        <f>SUM(G277:G279)</f>
        <v>0</v>
      </c>
      <c r="H280" s="425">
        <f t="shared" si="13"/>
        <v>0</v>
      </c>
      <c r="I280" s="455"/>
    </row>
    <row r="281" spans="1:10" s="60" customFormat="1" ht="33.75">
      <c r="A281" s="63" t="s">
        <v>593</v>
      </c>
      <c r="B281" s="61">
        <v>85495</v>
      </c>
      <c r="C281" s="845">
        <v>2810</v>
      </c>
      <c r="D281" s="124" t="s">
        <v>23</v>
      </c>
      <c r="E281" s="181">
        <v>2000</v>
      </c>
      <c r="F281" s="395">
        <v>0</v>
      </c>
      <c r="G281" s="815">
        <v>0</v>
      </c>
      <c r="H281" s="424">
        <f>G281/E281</f>
        <v>0</v>
      </c>
      <c r="I281" s="551"/>
      <c r="J281" s="848" t="s">
        <v>787</v>
      </c>
    </row>
    <row r="282" spans="1:10" s="60" customFormat="1" ht="33.75">
      <c r="A282" s="63" t="s">
        <v>593</v>
      </c>
      <c r="B282" s="61">
        <v>85495</v>
      </c>
      <c r="C282" s="846">
        <v>2820</v>
      </c>
      <c r="D282" s="124" t="s">
        <v>597</v>
      </c>
      <c r="E282" s="171">
        <v>44000</v>
      </c>
      <c r="F282" s="395">
        <v>20000</v>
      </c>
      <c r="G282" s="815">
        <v>15000</v>
      </c>
      <c r="H282" s="424">
        <f>G282/E282</f>
        <v>0.3409090909090909</v>
      </c>
      <c r="I282" s="551" t="s">
        <v>349</v>
      </c>
      <c r="J282" s="848" t="s">
        <v>787</v>
      </c>
    </row>
    <row r="283" spans="1:10" s="60" customFormat="1" ht="45">
      <c r="A283" s="63" t="s">
        <v>593</v>
      </c>
      <c r="B283" s="61">
        <v>85495</v>
      </c>
      <c r="C283" s="846">
        <v>2830</v>
      </c>
      <c r="D283" s="124" t="s">
        <v>591</v>
      </c>
      <c r="E283" s="171">
        <v>4000</v>
      </c>
      <c r="F283" s="395">
        <v>0</v>
      </c>
      <c r="G283" s="815">
        <v>5000</v>
      </c>
      <c r="H283" s="424">
        <f>G283/E283</f>
        <v>1.25</v>
      </c>
      <c r="I283" s="551"/>
      <c r="J283" s="848" t="s">
        <v>787</v>
      </c>
    </row>
    <row r="284" spans="1:9" s="60" customFormat="1" ht="12.75">
      <c r="A284" s="97" t="s">
        <v>860</v>
      </c>
      <c r="B284" s="98">
        <v>85495</v>
      </c>
      <c r="C284" s="98"/>
      <c r="D284" s="99" t="s">
        <v>51</v>
      </c>
      <c r="E284" s="100">
        <f>SUM(E281:E283)</f>
        <v>50000</v>
      </c>
      <c r="F284" s="419">
        <f>SUM(F281:F283)</f>
        <v>20000</v>
      </c>
      <c r="G284" s="768">
        <f>SUM(G281:G283)</f>
        <v>20000</v>
      </c>
      <c r="H284" s="425">
        <f t="shared" si="13"/>
        <v>0.4</v>
      </c>
      <c r="I284" s="455"/>
    </row>
    <row r="285" spans="1:9" s="60" customFormat="1" ht="12.75">
      <c r="A285" s="101" t="s">
        <v>593</v>
      </c>
      <c r="B285" s="102" t="s">
        <v>474</v>
      </c>
      <c r="C285" s="102"/>
      <c r="D285" s="103" t="s">
        <v>148</v>
      </c>
      <c r="E285" s="104">
        <f>E280+E284</f>
        <v>68830</v>
      </c>
      <c r="F285" s="743">
        <f>F280+F284</f>
        <v>20000</v>
      </c>
      <c r="G285" s="769">
        <f>G280+G284</f>
        <v>20000</v>
      </c>
      <c r="H285" s="423">
        <f t="shared" si="13"/>
        <v>0.2905709719599012</v>
      </c>
      <c r="I285" s="456"/>
    </row>
    <row r="286" spans="1:9" s="60" customFormat="1" ht="22.5">
      <c r="A286" s="63" t="s">
        <v>598</v>
      </c>
      <c r="B286" s="61">
        <v>90001</v>
      </c>
      <c r="C286" s="439">
        <v>4170</v>
      </c>
      <c r="D286" s="440" t="s">
        <v>871</v>
      </c>
      <c r="E286" s="437">
        <v>4500</v>
      </c>
      <c r="F286" s="435"/>
      <c r="G286" s="602">
        <v>0</v>
      </c>
      <c r="H286" s="424">
        <f t="shared" si="13"/>
        <v>0</v>
      </c>
      <c r="I286" s="193" t="s">
        <v>44</v>
      </c>
    </row>
    <row r="287" spans="1:9" s="60" customFormat="1" ht="12.75">
      <c r="A287" s="63" t="s">
        <v>598</v>
      </c>
      <c r="B287" s="61">
        <v>90001</v>
      </c>
      <c r="C287" s="61">
        <v>4210</v>
      </c>
      <c r="D287" s="95" t="s">
        <v>866</v>
      </c>
      <c r="E287" s="108">
        <v>10000</v>
      </c>
      <c r="F287" s="390">
        <v>10000</v>
      </c>
      <c r="G287" s="598">
        <v>10000</v>
      </c>
      <c r="H287" s="424">
        <f t="shared" si="13"/>
        <v>1</v>
      </c>
      <c r="I287" s="457" t="s">
        <v>865</v>
      </c>
    </row>
    <row r="288" spans="1:9" s="60" customFormat="1" ht="12.75">
      <c r="A288" s="63" t="s">
        <v>598</v>
      </c>
      <c r="B288" s="61">
        <v>90001</v>
      </c>
      <c r="C288" s="61">
        <v>4260</v>
      </c>
      <c r="D288" s="95" t="s">
        <v>873</v>
      </c>
      <c r="E288" s="108">
        <v>212000</v>
      </c>
      <c r="F288" s="390">
        <v>250000</v>
      </c>
      <c r="G288" s="598">
        <v>250000</v>
      </c>
      <c r="H288" s="424">
        <f t="shared" si="13"/>
        <v>1.179245283018868</v>
      </c>
      <c r="I288" s="457" t="s">
        <v>111</v>
      </c>
    </row>
    <row r="289" spans="1:9" s="60" customFormat="1" ht="67.5">
      <c r="A289" s="63" t="s">
        <v>598</v>
      </c>
      <c r="B289" s="61">
        <v>90001</v>
      </c>
      <c r="C289" s="61">
        <v>4270</v>
      </c>
      <c r="D289" s="95" t="s">
        <v>310</v>
      </c>
      <c r="E289" s="647">
        <v>505000</v>
      </c>
      <c r="F289" s="390">
        <v>650000</v>
      </c>
      <c r="G289" s="598">
        <v>600000</v>
      </c>
      <c r="H289" s="424">
        <f t="shared" si="13"/>
        <v>1.188118811881188</v>
      </c>
      <c r="I289" s="457" t="s">
        <v>494</v>
      </c>
    </row>
    <row r="290" spans="1:9" s="60" customFormat="1" ht="33.75">
      <c r="A290" s="63" t="s">
        <v>598</v>
      </c>
      <c r="B290" s="61">
        <v>90001</v>
      </c>
      <c r="C290" s="61">
        <v>4300</v>
      </c>
      <c r="D290" s="95" t="s">
        <v>557</v>
      </c>
      <c r="E290" s="82">
        <v>144286</v>
      </c>
      <c r="F290" s="390">
        <v>250000</v>
      </c>
      <c r="G290" s="598">
        <v>200000</v>
      </c>
      <c r="H290" s="424">
        <f t="shared" si="13"/>
        <v>1.386135869037883</v>
      </c>
      <c r="I290" s="457" t="s">
        <v>110</v>
      </c>
    </row>
    <row r="291" spans="1:9" s="60" customFormat="1" ht="34.5" thickBot="1">
      <c r="A291" s="207" t="s">
        <v>598</v>
      </c>
      <c r="B291" s="157">
        <v>90001</v>
      </c>
      <c r="C291" s="157">
        <v>4360</v>
      </c>
      <c r="D291" s="158" t="s">
        <v>702</v>
      </c>
      <c r="E291" s="159">
        <v>23000</v>
      </c>
      <c r="F291" s="197">
        <v>15000</v>
      </c>
      <c r="G291" s="779">
        <v>15000</v>
      </c>
      <c r="H291" s="528">
        <f>G288/E291</f>
        <v>10.869565217391305</v>
      </c>
      <c r="I291" s="562" t="s">
        <v>226</v>
      </c>
    </row>
    <row r="292" spans="1:9" s="60" customFormat="1" ht="45">
      <c r="A292" s="565" t="s">
        <v>598</v>
      </c>
      <c r="B292" s="566">
        <v>90001</v>
      </c>
      <c r="C292" s="554">
        <v>6050</v>
      </c>
      <c r="D292" s="555" t="s">
        <v>45</v>
      </c>
      <c r="E292" s="556">
        <v>0</v>
      </c>
      <c r="F292" s="631">
        <v>120000</v>
      </c>
      <c r="G292" s="817">
        <v>120000</v>
      </c>
      <c r="H292" s="624"/>
      <c r="I292" s="519" t="s">
        <v>247</v>
      </c>
    </row>
    <row r="293" spans="1:9" s="60" customFormat="1" ht="33.75">
      <c r="A293" s="567" t="s">
        <v>598</v>
      </c>
      <c r="B293" s="272">
        <v>90001</v>
      </c>
      <c r="C293" s="366">
        <v>6050</v>
      </c>
      <c r="D293" s="367" t="s">
        <v>46</v>
      </c>
      <c r="E293" s="650">
        <v>0</v>
      </c>
      <c r="F293" s="411">
        <v>262000</v>
      </c>
      <c r="G293" s="818">
        <v>0</v>
      </c>
      <c r="H293" s="424" t="e">
        <f t="shared" si="13"/>
        <v>#DIV/0!</v>
      </c>
      <c r="I293" s="553" t="s">
        <v>510</v>
      </c>
    </row>
    <row r="294" spans="1:9" s="121" customFormat="1" ht="33.75">
      <c r="A294" s="567" t="s">
        <v>598</v>
      </c>
      <c r="B294" s="272">
        <v>90001</v>
      </c>
      <c r="C294" s="366">
        <v>6050</v>
      </c>
      <c r="D294" s="367" t="s">
        <v>47</v>
      </c>
      <c r="E294" s="364">
        <v>0</v>
      </c>
      <c r="F294" s="411">
        <v>610000</v>
      </c>
      <c r="G294" s="818">
        <v>610000</v>
      </c>
      <c r="H294" s="424"/>
      <c r="I294" s="568" t="s">
        <v>198</v>
      </c>
    </row>
    <row r="295" spans="1:9" s="121" customFormat="1" ht="34.5" thickBot="1">
      <c r="A295" s="557" t="s">
        <v>598</v>
      </c>
      <c r="B295" s="558">
        <v>90001</v>
      </c>
      <c r="C295" s="559">
        <v>6050</v>
      </c>
      <c r="D295" s="560" t="s">
        <v>48</v>
      </c>
      <c r="E295" s="513">
        <v>0</v>
      </c>
      <c r="F295" s="630">
        <v>40000</v>
      </c>
      <c r="G295" s="819">
        <v>0</v>
      </c>
      <c r="H295" s="628"/>
      <c r="I295" s="520" t="s">
        <v>199</v>
      </c>
    </row>
    <row r="296" spans="1:9" s="60" customFormat="1" ht="78.75">
      <c r="A296" s="563" t="s">
        <v>598</v>
      </c>
      <c r="B296" s="370">
        <v>90001</v>
      </c>
      <c r="C296" s="372">
        <v>6050</v>
      </c>
      <c r="D296" s="373" t="s">
        <v>736</v>
      </c>
      <c r="E296" s="374">
        <v>1177395</v>
      </c>
      <c r="F296" s="415">
        <v>1600000</v>
      </c>
      <c r="G296" s="820">
        <v>700000</v>
      </c>
      <c r="H296" s="426">
        <f t="shared" si="13"/>
        <v>0.5945328458163998</v>
      </c>
      <c r="I296" s="564" t="s">
        <v>738</v>
      </c>
    </row>
    <row r="297" spans="1:10" s="60" customFormat="1" ht="79.5" thickBot="1">
      <c r="A297" s="557" t="s">
        <v>598</v>
      </c>
      <c r="B297" s="558">
        <v>90001</v>
      </c>
      <c r="C297" s="559">
        <v>6050</v>
      </c>
      <c r="D297" s="560" t="s">
        <v>737</v>
      </c>
      <c r="E297" s="513">
        <v>0</v>
      </c>
      <c r="F297" s="630">
        <v>1000000</v>
      </c>
      <c r="G297" s="821">
        <v>580000</v>
      </c>
      <c r="H297" s="628"/>
      <c r="I297" s="561" t="s">
        <v>511</v>
      </c>
      <c r="J297" s="60" t="s">
        <v>353</v>
      </c>
    </row>
    <row r="298" spans="1:9" s="60" customFormat="1" ht="56.25">
      <c r="A298" s="618" t="s">
        <v>598</v>
      </c>
      <c r="B298" s="619">
        <v>90001</v>
      </c>
      <c r="C298" s="620">
        <v>6059</v>
      </c>
      <c r="D298" s="621" t="s">
        <v>217</v>
      </c>
      <c r="E298" s="622">
        <v>3798816</v>
      </c>
      <c r="F298" s="623">
        <v>0</v>
      </c>
      <c r="G298" s="822">
        <v>0</v>
      </c>
      <c r="H298" s="624">
        <f aca="true" t="shared" si="14" ref="H298:H304">G298/E298</f>
        <v>0</v>
      </c>
      <c r="I298" s="625"/>
    </row>
    <row r="299" spans="1:9" s="60" customFormat="1" ht="56.25">
      <c r="A299" s="626" t="s">
        <v>598</v>
      </c>
      <c r="B299" s="110">
        <v>90001</v>
      </c>
      <c r="C299" s="106">
        <v>6059</v>
      </c>
      <c r="D299" s="170" t="s">
        <v>218</v>
      </c>
      <c r="E299" s="169">
        <v>2000000</v>
      </c>
      <c r="F299" s="391">
        <v>0</v>
      </c>
      <c r="G299" s="606">
        <v>0</v>
      </c>
      <c r="H299" s="424">
        <f t="shared" si="14"/>
        <v>0</v>
      </c>
      <c r="I299" s="627"/>
    </row>
    <row r="300" spans="1:9" s="60" customFormat="1" ht="57.75" customHeight="1" thickBot="1">
      <c r="A300" s="211" t="s">
        <v>598</v>
      </c>
      <c r="B300" s="212">
        <v>90001</v>
      </c>
      <c r="C300" s="389">
        <v>6059</v>
      </c>
      <c r="D300" s="216" t="s">
        <v>311</v>
      </c>
      <c r="E300" s="214">
        <v>1270400</v>
      </c>
      <c r="F300" s="416">
        <v>0</v>
      </c>
      <c r="G300" s="810">
        <v>0</v>
      </c>
      <c r="H300" s="628">
        <f t="shared" si="14"/>
        <v>0</v>
      </c>
      <c r="I300" s="629"/>
    </row>
    <row r="301" spans="1:9" s="60" customFormat="1" ht="12.75">
      <c r="A301" s="215" t="s">
        <v>860</v>
      </c>
      <c r="B301" s="156">
        <v>90001</v>
      </c>
      <c r="C301" s="156"/>
      <c r="D301" s="160" t="s">
        <v>121</v>
      </c>
      <c r="E301" s="161">
        <f>SUM(E286:E300)</f>
        <v>9145397</v>
      </c>
      <c r="F301" s="449">
        <f>SUM(F286:F300)</f>
        <v>4807000</v>
      </c>
      <c r="G301" s="809">
        <f>SUM(G286:G300)</f>
        <v>3085000</v>
      </c>
      <c r="H301" s="616">
        <f t="shared" si="14"/>
        <v>0.33732816628955525</v>
      </c>
      <c r="I301" s="617"/>
    </row>
    <row r="302" spans="1:9" s="60" customFormat="1" ht="12.75">
      <c r="A302" s="63" t="s">
        <v>598</v>
      </c>
      <c r="B302" s="61">
        <v>90002</v>
      </c>
      <c r="C302" s="61">
        <v>4300</v>
      </c>
      <c r="D302" s="95" t="s">
        <v>312</v>
      </c>
      <c r="E302" s="647">
        <v>85000</v>
      </c>
      <c r="F302" s="390">
        <v>60000</v>
      </c>
      <c r="G302" s="772">
        <v>40000</v>
      </c>
      <c r="H302" s="424">
        <f t="shared" si="14"/>
        <v>0.47058823529411764</v>
      </c>
      <c r="I302" s="457" t="s">
        <v>108</v>
      </c>
    </row>
    <row r="303" spans="1:9" s="60" customFormat="1" ht="22.5">
      <c r="A303" s="109" t="s">
        <v>598</v>
      </c>
      <c r="B303" s="110">
        <v>90002</v>
      </c>
      <c r="C303" s="178" t="s">
        <v>691</v>
      </c>
      <c r="D303" s="118" t="s">
        <v>313</v>
      </c>
      <c r="E303" s="108">
        <v>10000</v>
      </c>
      <c r="F303" s="390">
        <v>0</v>
      </c>
      <c r="G303" s="605">
        <v>0</v>
      </c>
      <c r="H303" s="424">
        <f>G303/E303</f>
        <v>0</v>
      </c>
      <c r="I303" s="457" t="s">
        <v>34</v>
      </c>
    </row>
    <row r="304" spans="1:9" s="60" customFormat="1" ht="22.5">
      <c r="A304" s="109" t="s">
        <v>598</v>
      </c>
      <c r="B304" s="110">
        <v>90002</v>
      </c>
      <c r="C304" s="178" t="s">
        <v>691</v>
      </c>
      <c r="D304" s="118" t="s">
        <v>512</v>
      </c>
      <c r="E304" s="647">
        <v>40927</v>
      </c>
      <c r="F304" s="390">
        <v>0</v>
      </c>
      <c r="G304" s="605">
        <v>0</v>
      </c>
      <c r="H304" s="424">
        <f t="shared" si="14"/>
        <v>0</v>
      </c>
      <c r="I304" s="457" t="s">
        <v>34</v>
      </c>
    </row>
    <row r="305" spans="1:9" s="60" customFormat="1" ht="12.75">
      <c r="A305" s="97" t="s">
        <v>860</v>
      </c>
      <c r="B305" s="98">
        <v>90002</v>
      </c>
      <c r="C305" s="98"/>
      <c r="D305" s="99" t="s">
        <v>680</v>
      </c>
      <c r="E305" s="100">
        <f>SUM(E302:E304)</f>
        <v>135927</v>
      </c>
      <c r="F305" s="419">
        <f>SUM(F302:F304)</f>
        <v>60000</v>
      </c>
      <c r="G305" s="768">
        <f>SUM(G302:G304)</f>
        <v>40000</v>
      </c>
      <c r="H305" s="425">
        <f aca="true" t="shared" si="15" ref="H305:H324">G305/E305</f>
        <v>0.2942756038167546</v>
      </c>
      <c r="I305" s="455"/>
    </row>
    <row r="306" spans="1:9" s="60" customFormat="1" ht="12.75">
      <c r="A306" s="63" t="s">
        <v>598</v>
      </c>
      <c r="B306" s="61">
        <v>90003</v>
      </c>
      <c r="C306" s="61">
        <v>4210</v>
      </c>
      <c r="D306" s="95" t="s">
        <v>866</v>
      </c>
      <c r="E306" s="108">
        <v>126500</v>
      </c>
      <c r="F306" s="390">
        <v>130000</v>
      </c>
      <c r="G306" s="772">
        <v>130000</v>
      </c>
      <c r="H306" s="424">
        <f t="shared" si="15"/>
        <v>1.0276679841897234</v>
      </c>
      <c r="I306" s="457" t="s">
        <v>865</v>
      </c>
    </row>
    <row r="307" spans="1:9" s="60" customFormat="1" ht="22.5">
      <c r="A307" s="63" t="s">
        <v>598</v>
      </c>
      <c r="B307" s="61">
        <v>90003</v>
      </c>
      <c r="C307" s="61">
        <v>4270</v>
      </c>
      <c r="D307" s="95" t="s">
        <v>867</v>
      </c>
      <c r="E307" s="108">
        <v>6500</v>
      </c>
      <c r="F307" s="390">
        <v>3500</v>
      </c>
      <c r="G307" s="599">
        <v>3500</v>
      </c>
      <c r="H307" s="424">
        <f t="shared" si="15"/>
        <v>0.5384615384615384</v>
      </c>
      <c r="I307" s="457" t="s">
        <v>49</v>
      </c>
    </row>
    <row r="308" spans="1:9" s="60" customFormat="1" ht="33.75">
      <c r="A308" s="63" t="s">
        <v>598</v>
      </c>
      <c r="B308" s="61">
        <v>90003</v>
      </c>
      <c r="C308" s="61">
        <v>4300</v>
      </c>
      <c r="D308" s="95" t="s">
        <v>863</v>
      </c>
      <c r="E308" s="647">
        <v>566084</v>
      </c>
      <c r="F308" s="390">
        <v>550000</v>
      </c>
      <c r="G308" s="599">
        <v>550000</v>
      </c>
      <c r="H308" s="424">
        <f t="shared" si="15"/>
        <v>0.9715872556016422</v>
      </c>
      <c r="I308" s="457" t="s">
        <v>528</v>
      </c>
    </row>
    <row r="309" spans="1:9" s="60" customFormat="1" ht="12.75" customHeight="1">
      <c r="A309" s="63" t="s">
        <v>598</v>
      </c>
      <c r="B309" s="61">
        <v>90003</v>
      </c>
      <c r="C309" s="178" t="s">
        <v>691</v>
      </c>
      <c r="D309" s="95" t="s">
        <v>513</v>
      </c>
      <c r="E309" s="108">
        <v>5000</v>
      </c>
      <c r="F309" s="390">
        <v>0</v>
      </c>
      <c r="G309" s="605">
        <v>0</v>
      </c>
      <c r="H309" s="424">
        <f t="shared" si="15"/>
        <v>0</v>
      </c>
      <c r="I309" s="457" t="s">
        <v>34</v>
      </c>
    </row>
    <row r="310" spans="1:9" s="60" customFormat="1" ht="22.5">
      <c r="A310" s="63" t="s">
        <v>598</v>
      </c>
      <c r="B310" s="61">
        <v>90003</v>
      </c>
      <c r="C310" s="61">
        <v>4430</v>
      </c>
      <c r="D310" s="95" t="s">
        <v>868</v>
      </c>
      <c r="E310" s="82">
        <v>3000</v>
      </c>
      <c r="F310" s="390">
        <v>3000</v>
      </c>
      <c r="G310" s="772">
        <v>3000</v>
      </c>
      <c r="H310" s="424">
        <f t="shared" si="15"/>
        <v>1</v>
      </c>
      <c r="I310" s="457" t="s">
        <v>531</v>
      </c>
    </row>
    <row r="311" spans="1:9" s="60" customFormat="1" ht="12.75">
      <c r="A311" s="97" t="s">
        <v>860</v>
      </c>
      <c r="B311" s="98">
        <v>90003</v>
      </c>
      <c r="C311" s="98"/>
      <c r="D311" s="99" t="s">
        <v>635</v>
      </c>
      <c r="E311" s="100">
        <f>SUM(E306:E310)</f>
        <v>707084</v>
      </c>
      <c r="F311" s="419">
        <f>SUM(F306:F310)</f>
        <v>686500</v>
      </c>
      <c r="G311" s="768">
        <f>SUM(G306:G310)</f>
        <v>686500</v>
      </c>
      <c r="H311" s="425">
        <f t="shared" si="15"/>
        <v>0.9708888901460081</v>
      </c>
      <c r="I311" s="455"/>
    </row>
    <row r="312" spans="1:9" s="60" customFormat="1" ht="12.75">
      <c r="A312" s="63" t="s">
        <v>598</v>
      </c>
      <c r="B312" s="61">
        <v>90004</v>
      </c>
      <c r="C312" s="61">
        <v>4210</v>
      </c>
      <c r="D312" s="95" t="s">
        <v>866</v>
      </c>
      <c r="E312" s="82">
        <v>20000</v>
      </c>
      <c r="F312" s="390">
        <v>20000</v>
      </c>
      <c r="G312" s="598">
        <v>10000</v>
      </c>
      <c r="H312" s="424">
        <f t="shared" si="15"/>
        <v>0.5</v>
      </c>
      <c r="I312" s="457" t="s">
        <v>532</v>
      </c>
    </row>
    <row r="313" spans="1:9" s="60" customFormat="1" ht="22.5">
      <c r="A313" s="63" t="s">
        <v>598</v>
      </c>
      <c r="B313" s="61">
        <v>90004</v>
      </c>
      <c r="C313" s="61">
        <v>4300</v>
      </c>
      <c r="D313" s="95" t="s">
        <v>863</v>
      </c>
      <c r="E313" s="108">
        <v>75000</v>
      </c>
      <c r="F313" s="390">
        <v>75000</v>
      </c>
      <c r="G313" s="598">
        <v>65000</v>
      </c>
      <c r="H313" s="424">
        <f t="shared" si="15"/>
        <v>0.8666666666666667</v>
      </c>
      <c r="I313" s="457" t="s">
        <v>533</v>
      </c>
    </row>
    <row r="314" spans="1:9" s="60" customFormat="1" ht="12.75">
      <c r="A314" s="97" t="s">
        <v>860</v>
      </c>
      <c r="B314" s="98">
        <v>90004</v>
      </c>
      <c r="C314" s="98"/>
      <c r="D314" s="99" t="s">
        <v>636</v>
      </c>
      <c r="E314" s="100">
        <f>SUM(E312:E313)</f>
        <v>95000</v>
      </c>
      <c r="F314" s="419">
        <f>SUM(F312:F313)</f>
        <v>95000</v>
      </c>
      <c r="G314" s="768">
        <f>SUM(G312:G313)</f>
        <v>75000</v>
      </c>
      <c r="H314" s="425">
        <f t="shared" si="15"/>
        <v>0.7894736842105263</v>
      </c>
      <c r="I314" s="455"/>
    </row>
    <row r="315" spans="1:9" s="60" customFormat="1" ht="22.5">
      <c r="A315" s="63" t="s">
        <v>598</v>
      </c>
      <c r="B315" s="61">
        <v>90015</v>
      </c>
      <c r="C315" s="172">
        <v>4210</v>
      </c>
      <c r="D315" s="95" t="s">
        <v>866</v>
      </c>
      <c r="E315" s="173">
        <v>10000</v>
      </c>
      <c r="F315" s="390">
        <v>0</v>
      </c>
      <c r="G315" s="603">
        <v>10000</v>
      </c>
      <c r="H315" s="424">
        <f t="shared" si="15"/>
        <v>1</v>
      </c>
      <c r="I315" s="193" t="s">
        <v>535</v>
      </c>
    </row>
    <row r="316" spans="1:9" s="60" customFormat="1" ht="22.5">
      <c r="A316" s="63" t="s">
        <v>598</v>
      </c>
      <c r="B316" s="61">
        <v>90015</v>
      </c>
      <c r="C316" s="61">
        <v>4260</v>
      </c>
      <c r="D316" s="95" t="s">
        <v>873</v>
      </c>
      <c r="E316" s="108">
        <v>660000</v>
      </c>
      <c r="F316" s="390">
        <v>550000</v>
      </c>
      <c r="G316" s="598">
        <v>550000</v>
      </c>
      <c r="H316" s="424">
        <f t="shared" si="15"/>
        <v>0.8333333333333334</v>
      </c>
      <c r="I316" s="613" t="s">
        <v>536</v>
      </c>
    </row>
    <row r="317" spans="1:9" s="60" customFormat="1" ht="47.25" customHeight="1">
      <c r="A317" s="63" t="s">
        <v>598</v>
      </c>
      <c r="B317" s="61">
        <v>90015</v>
      </c>
      <c r="C317" s="61">
        <v>4270</v>
      </c>
      <c r="D317" s="95" t="s">
        <v>867</v>
      </c>
      <c r="E317" s="82">
        <v>147760</v>
      </c>
      <c r="F317" s="390">
        <v>220000</v>
      </c>
      <c r="G317" s="772">
        <v>150000</v>
      </c>
      <c r="H317" s="424">
        <f t="shared" si="15"/>
        <v>1.0151597184623715</v>
      </c>
      <c r="I317" s="457" t="s">
        <v>537</v>
      </c>
    </row>
    <row r="318" spans="1:9" s="60" customFormat="1" ht="12.75">
      <c r="A318" s="63" t="s">
        <v>598</v>
      </c>
      <c r="B318" s="61">
        <v>90015</v>
      </c>
      <c r="C318" s="61">
        <v>4300</v>
      </c>
      <c r="D318" s="95" t="s">
        <v>863</v>
      </c>
      <c r="E318" s="82">
        <v>25000</v>
      </c>
      <c r="F318" s="390">
        <v>25000</v>
      </c>
      <c r="G318" s="772">
        <v>25000</v>
      </c>
      <c r="H318" s="424">
        <f t="shared" si="15"/>
        <v>1</v>
      </c>
      <c r="I318" s="457" t="s">
        <v>865</v>
      </c>
    </row>
    <row r="319" spans="1:9" s="60" customFormat="1" ht="22.5">
      <c r="A319" s="63" t="s">
        <v>598</v>
      </c>
      <c r="B319" s="61">
        <v>90015</v>
      </c>
      <c r="C319" s="106">
        <v>6050</v>
      </c>
      <c r="D319" s="107" t="s">
        <v>431</v>
      </c>
      <c r="E319" s="169">
        <v>130000</v>
      </c>
      <c r="F319" s="391">
        <v>200000</v>
      </c>
      <c r="G319" s="771">
        <v>150000</v>
      </c>
      <c r="H319" s="424">
        <f t="shared" si="15"/>
        <v>1.1538461538461537</v>
      </c>
      <c r="I319" s="613" t="s">
        <v>348</v>
      </c>
    </row>
    <row r="320" spans="1:9" s="60" customFormat="1" ht="12.75">
      <c r="A320" s="97" t="s">
        <v>860</v>
      </c>
      <c r="B320" s="98">
        <v>90015</v>
      </c>
      <c r="C320" s="98"/>
      <c r="D320" s="99" t="s">
        <v>637</v>
      </c>
      <c r="E320" s="100">
        <f>SUM(E315:E319)</f>
        <v>972760</v>
      </c>
      <c r="F320" s="419">
        <f>SUM(F315:F319)</f>
        <v>995000</v>
      </c>
      <c r="G320" s="768">
        <f>SUM(G315:G319)</f>
        <v>885000</v>
      </c>
      <c r="H320" s="425">
        <f t="shared" si="15"/>
        <v>0.909782474608331</v>
      </c>
      <c r="I320" s="455"/>
    </row>
    <row r="321" spans="1:10" s="60" customFormat="1" ht="60" customHeight="1">
      <c r="A321" s="175" t="s">
        <v>598</v>
      </c>
      <c r="B321" s="172">
        <v>90095</v>
      </c>
      <c r="C321" s="845">
        <v>2820</v>
      </c>
      <c r="D321" s="124" t="s">
        <v>597</v>
      </c>
      <c r="E321" s="181">
        <v>0</v>
      </c>
      <c r="F321" s="395">
        <v>5000</v>
      </c>
      <c r="G321" s="811">
        <v>5000</v>
      </c>
      <c r="H321" s="424"/>
      <c r="I321" s="198" t="s">
        <v>530</v>
      </c>
      <c r="J321" s="848" t="s">
        <v>787</v>
      </c>
    </row>
    <row r="322" spans="1:9" s="60" customFormat="1" ht="12.75">
      <c r="A322" s="97" t="s">
        <v>860</v>
      </c>
      <c r="B322" s="98">
        <v>90095</v>
      </c>
      <c r="C322" s="508"/>
      <c r="D322" s="507" t="s">
        <v>51</v>
      </c>
      <c r="E322" s="100">
        <f>E321</f>
        <v>0</v>
      </c>
      <c r="F322" s="419">
        <f>F321</f>
        <v>5000</v>
      </c>
      <c r="G322" s="768">
        <f>G321</f>
        <v>5000</v>
      </c>
      <c r="H322" s="425"/>
      <c r="I322" s="455"/>
    </row>
    <row r="323" spans="1:9" s="60" customFormat="1" ht="21">
      <c r="A323" s="101" t="s">
        <v>598</v>
      </c>
      <c r="B323" s="102" t="s">
        <v>474</v>
      </c>
      <c r="C323" s="102"/>
      <c r="D323" s="103" t="s">
        <v>149</v>
      </c>
      <c r="E323" s="104">
        <f>E301+E305+E311+E314+E320+E322</f>
        <v>11056168</v>
      </c>
      <c r="F323" s="743">
        <f>F301+F305+F311+F314+F320+F322</f>
        <v>6648500</v>
      </c>
      <c r="G323" s="769">
        <f>G301+G305+G311+G314+G320+G322</f>
        <v>4776500</v>
      </c>
      <c r="H323" s="423">
        <f t="shared" si="15"/>
        <v>0.4320212934535727</v>
      </c>
      <c r="I323" s="456"/>
    </row>
    <row r="324" spans="1:9" s="60" customFormat="1" ht="24" customHeight="1">
      <c r="A324" s="63" t="s">
        <v>314</v>
      </c>
      <c r="B324" s="61">
        <v>92109</v>
      </c>
      <c r="C324" s="123">
        <v>2480</v>
      </c>
      <c r="D324" s="115" t="s">
        <v>315</v>
      </c>
      <c r="E324" s="647">
        <v>599300</v>
      </c>
      <c r="F324" s="395">
        <v>1035519</v>
      </c>
      <c r="G324" s="823">
        <v>600000</v>
      </c>
      <c r="H324" s="424">
        <f t="shared" si="15"/>
        <v>1.0011680293675955</v>
      </c>
      <c r="I324" s="457" t="s">
        <v>490</v>
      </c>
    </row>
    <row r="325" spans="1:10" s="60" customFormat="1" ht="24" customHeight="1">
      <c r="A325" s="63"/>
      <c r="B325" s="61"/>
      <c r="C325" s="123">
        <v>2487</v>
      </c>
      <c r="D325" s="115" t="s">
        <v>305</v>
      </c>
      <c r="E325" s="647"/>
      <c r="F325" s="395"/>
      <c r="G325" s="824">
        <v>42500</v>
      </c>
      <c r="H325" s="424"/>
      <c r="I325" s="457"/>
      <c r="J325" s="60" t="s">
        <v>306</v>
      </c>
    </row>
    <row r="326" spans="1:10" s="60" customFormat="1" ht="24" customHeight="1">
      <c r="A326" s="63"/>
      <c r="B326" s="61"/>
      <c r="C326" s="123">
        <v>2489</v>
      </c>
      <c r="D326" s="115" t="s">
        <v>305</v>
      </c>
      <c r="E326" s="647"/>
      <c r="F326" s="395"/>
      <c r="G326" s="824">
        <v>7500</v>
      </c>
      <c r="H326" s="424"/>
      <c r="I326" s="457"/>
      <c r="J326" s="60" t="s">
        <v>306</v>
      </c>
    </row>
    <row r="327" spans="1:9" s="60" customFormat="1" ht="33.75">
      <c r="A327" s="63" t="s">
        <v>314</v>
      </c>
      <c r="B327" s="61">
        <v>92109</v>
      </c>
      <c r="C327" s="180">
        <v>6050</v>
      </c>
      <c r="D327" s="170" t="s">
        <v>432</v>
      </c>
      <c r="E327" s="169">
        <v>43700</v>
      </c>
      <c r="F327" s="391">
        <v>25000</v>
      </c>
      <c r="G327" s="773">
        <v>25000</v>
      </c>
      <c r="H327" s="424">
        <f aca="true" t="shared" si="16" ref="H327:H347">G327/E327</f>
        <v>0.5720823798627003</v>
      </c>
      <c r="I327" s="457" t="s">
        <v>529</v>
      </c>
    </row>
    <row r="328" spans="1:9" s="60" customFormat="1" ht="45">
      <c r="A328" s="63" t="s">
        <v>314</v>
      </c>
      <c r="B328" s="61">
        <v>92109</v>
      </c>
      <c r="C328" s="180">
        <v>6050</v>
      </c>
      <c r="D328" s="170" t="s">
        <v>228</v>
      </c>
      <c r="E328" s="169">
        <v>15000</v>
      </c>
      <c r="F328" s="391">
        <v>300000</v>
      </c>
      <c r="G328" s="773">
        <v>100000</v>
      </c>
      <c r="H328" s="424">
        <f t="shared" si="16"/>
        <v>6.666666666666667</v>
      </c>
      <c r="I328" s="457" t="s">
        <v>226</v>
      </c>
    </row>
    <row r="329" spans="1:9" s="60" customFormat="1" ht="12.75">
      <c r="A329" s="97" t="s">
        <v>860</v>
      </c>
      <c r="B329" s="98">
        <v>92109</v>
      </c>
      <c r="C329" s="98"/>
      <c r="D329" s="99" t="s">
        <v>638</v>
      </c>
      <c r="E329" s="100">
        <f>SUM(E324:E328)</f>
        <v>658000</v>
      </c>
      <c r="F329" s="419">
        <f>SUM(F324:F328)</f>
        <v>1360519</v>
      </c>
      <c r="G329" s="768">
        <f>SUM(G324:G328)</f>
        <v>775000</v>
      </c>
      <c r="H329" s="425">
        <f t="shared" si="16"/>
        <v>1.1778115501519757</v>
      </c>
      <c r="I329" s="455"/>
    </row>
    <row r="330" spans="1:9" s="60" customFormat="1" ht="26.25" customHeight="1">
      <c r="A330" s="63" t="s">
        <v>314</v>
      </c>
      <c r="B330" s="61">
        <v>92116</v>
      </c>
      <c r="C330" s="123">
        <v>2480</v>
      </c>
      <c r="D330" s="115" t="s">
        <v>316</v>
      </c>
      <c r="E330" s="647">
        <v>431158</v>
      </c>
      <c r="F330" s="395">
        <v>448070</v>
      </c>
      <c r="G330" s="796">
        <v>448070</v>
      </c>
      <c r="H330" s="424">
        <f t="shared" si="16"/>
        <v>1.0392245997986818</v>
      </c>
      <c r="I330" s="193" t="s">
        <v>326</v>
      </c>
    </row>
    <row r="331" spans="1:9" s="60" customFormat="1" ht="12.75">
      <c r="A331" s="97" t="s">
        <v>860</v>
      </c>
      <c r="B331" s="98">
        <v>92116</v>
      </c>
      <c r="C331" s="98"/>
      <c r="D331" s="99" t="s">
        <v>639</v>
      </c>
      <c r="E331" s="100">
        <f>SUM(E330:E330)</f>
        <v>431158</v>
      </c>
      <c r="F331" s="419">
        <f>SUM(F330:F330)</f>
        <v>448070</v>
      </c>
      <c r="G331" s="768">
        <f>SUM(G330:G330)</f>
        <v>448070</v>
      </c>
      <c r="H331" s="425">
        <f t="shared" si="16"/>
        <v>1.0392245997986818</v>
      </c>
      <c r="I331" s="455"/>
    </row>
    <row r="332" spans="1:9" s="509" customFormat="1" ht="33.75">
      <c r="A332" s="175" t="s">
        <v>314</v>
      </c>
      <c r="B332" s="172">
        <v>92120</v>
      </c>
      <c r="C332" s="172">
        <v>4340</v>
      </c>
      <c r="D332" s="174" t="s">
        <v>242</v>
      </c>
      <c r="E332" s="653">
        <v>10000</v>
      </c>
      <c r="F332" s="390">
        <v>40000</v>
      </c>
      <c r="G332" s="598">
        <v>40000</v>
      </c>
      <c r="H332" s="428"/>
      <c r="I332" s="198" t="s">
        <v>240</v>
      </c>
    </row>
    <row r="333" spans="1:9" s="509" customFormat="1" ht="58.5" customHeight="1">
      <c r="A333" s="175" t="s">
        <v>314</v>
      </c>
      <c r="B333" s="172">
        <v>92120</v>
      </c>
      <c r="C333" s="230">
        <v>6050</v>
      </c>
      <c r="D333" s="233" t="s">
        <v>722</v>
      </c>
      <c r="E333" s="358">
        <v>0</v>
      </c>
      <c r="F333" s="391">
        <v>70000</v>
      </c>
      <c r="G333" s="825">
        <v>70000</v>
      </c>
      <c r="H333" s="428"/>
      <c r="I333" s="198" t="s">
        <v>226</v>
      </c>
    </row>
    <row r="334" spans="1:9" s="60" customFormat="1" ht="12.75">
      <c r="A334" s="97" t="s">
        <v>860</v>
      </c>
      <c r="B334" s="98">
        <v>92120</v>
      </c>
      <c r="C334" s="98"/>
      <c r="D334" s="99" t="s">
        <v>241</v>
      </c>
      <c r="E334" s="100">
        <f>SUM(E332:E333)</f>
        <v>10000</v>
      </c>
      <c r="F334" s="419">
        <f>SUM(F332:F333)</f>
        <v>110000</v>
      </c>
      <c r="G334" s="768">
        <f>SUM(G332:G333)</f>
        <v>110000</v>
      </c>
      <c r="H334" s="425"/>
      <c r="I334" s="455"/>
    </row>
    <row r="335" spans="1:9" s="111" customFormat="1" ht="56.25">
      <c r="A335" s="63" t="s">
        <v>314</v>
      </c>
      <c r="B335" s="61">
        <v>92195</v>
      </c>
      <c r="C335" s="125">
        <v>2710</v>
      </c>
      <c r="D335" s="112" t="s">
        <v>556</v>
      </c>
      <c r="E335" s="108">
        <v>20000</v>
      </c>
      <c r="F335" s="390">
        <v>0</v>
      </c>
      <c r="G335" s="826">
        <v>10000</v>
      </c>
      <c r="H335" s="424">
        <f>G335/E335</f>
        <v>0.5</v>
      </c>
      <c r="I335" s="457" t="s">
        <v>491</v>
      </c>
    </row>
    <row r="336" spans="1:10" s="60" customFormat="1" ht="33.75">
      <c r="A336" s="63" t="s">
        <v>314</v>
      </c>
      <c r="B336" s="61">
        <v>92195</v>
      </c>
      <c r="C336" s="846">
        <v>2820</v>
      </c>
      <c r="D336" s="124" t="s">
        <v>597</v>
      </c>
      <c r="E336" s="171">
        <v>20000</v>
      </c>
      <c r="F336" s="395">
        <v>20000</v>
      </c>
      <c r="G336" s="811">
        <v>20000</v>
      </c>
      <c r="H336" s="424">
        <f t="shared" si="16"/>
        <v>1</v>
      </c>
      <c r="I336" s="193" t="s">
        <v>371</v>
      </c>
      <c r="J336" s="848" t="s">
        <v>787</v>
      </c>
    </row>
    <row r="337" spans="1:9" s="60" customFormat="1" ht="12.75">
      <c r="A337" s="63" t="s">
        <v>314</v>
      </c>
      <c r="B337" s="61">
        <v>92195</v>
      </c>
      <c r="C337" s="441">
        <v>4170</v>
      </c>
      <c r="D337" s="442" t="s">
        <v>871</v>
      </c>
      <c r="E337" s="647">
        <v>24100</v>
      </c>
      <c r="F337" s="443">
        <v>0</v>
      </c>
      <c r="G337" s="778">
        <v>0</v>
      </c>
      <c r="H337" s="424"/>
      <c r="I337" s="551" t="s">
        <v>495</v>
      </c>
    </row>
    <row r="338" spans="1:9" s="60" customFormat="1" ht="33.75" customHeight="1">
      <c r="A338" s="63" t="s">
        <v>314</v>
      </c>
      <c r="B338" s="61">
        <v>92195</v>
      </c>
      <c r="C338" s="196">
        <v>4210</v>
      </c>
      <c r="D338" s="118" t="s">
        <v>866</v>
      </c>
      <c r="E338" s="82">
        <v>24000</v>
      </c>
      <c r="F338" s="390">
        <v>0</v>
      </c>
      <c r="G338" s="778">
        <v>14000</v>
      </c>
      <c r="H338" s="424">
        <f t="shared" si="16"/>
        <v>0.5833333333333334</v>
      </c>
      <c r="I338" s="551" t="s">
        <v>496</v>
      </c>
    </row>
    <row r="339" spans="1:9" s="60" customFormat="1" ht="12.75">
      <c r="A339" s="63" t="s">
        <v>314</v>
      </c>
      <c r="B339" s="61">
        <v>92195</v>
      </c>
      <c r="C339" s="196">
        <v>4300</v>
      </c>
      <c r="D339" s="118" t="s">
        <v>557</v>
      </c>
      <c r="E339" s="647">
        <v>93856</v>
      </c>
      <c r="F339" s="390">
        <v>120000</v>
      </c>
      <c r="G339" s="778">
        <v>86000</v>
      </c>
      <c r="H339" s="424">
        <f t="shared" si="16"/>
        <v>0.9162973065121036</v>
      </c>
      <c r="I339" s="551" t="s">
        <v>495</v>
      </c>
    </row>
    <row r="340" spans="1:9" s="60" customFormat="1" ht="12.75">
      <c r="A340" s="97" t="s">
        <v>860</v>
      </c>
      <c r="B340" s="98">
        <v>92195</v>
      </c>
      <c r="C340" s="98"/>
      <c r="D340" s="99" t="s">
        <v>51</v>
      </c>
      <c r="E340" s="100">
        <f>SUM(E335:E339)</f>
        <v>181956</v>
      </c>
      <c r="F340" s="419">
        <f>SUM(F335:F339)</f>
        <v>140000</v>
      </c>
      <c r="G340" s="768">
        <f>SUM(G335:G339)</f>
        <v>130000</v>
      </c>
      <c r="H340" s="425">
        <f t="shared" si="16"/>
        <v>0.7144584405020994</v>
      </c>
      <c r="I340" s="455"/>
    </row>
    <row r="341" spans="1:9" s="60" customFormat="1" ht="13.5" customHeight="1">
      <c r="A341" s="101" t="s">
        <v>314</v>
      </c>
      <c r="B341" s="102" t="s">
        <v>474</v>
      </c>
      <c r="C341" s="102"/>
      <c r="D341" s="103" t="s">
        <v>644</v>
      </c>
      <c r="E341" s="104">
        <f>E329+E331+E334+E340</f>
        <v>1281114</v>
      </c>
      <c r="F341" s="743">
        <f>F329+F331+F334+F340</f>
        <v>2058589</v>
      </c>
      <c r="G341" s="769">
        <f>G329+G331+G334+G340</f>
        <v>1463070</v>
      </c>
      <c r="H341" s="423">
        <f t="shared" si="16"/>
        <v>1.1420295149377808</v>
      </c>
      <c r="I341" s="456"/>
    </row>
    <row r="342" spans="1:9" s="60" customFormat="1" ht="12.75">
      <c r="A342" s="119" t="s">
        <v>327</v>
      </c>
      <c r="B342" s="120">
        <v>92601</v>
      </c>
      <c r="C342" s="120">
        <v>4210</v>
      </c>
      <c r="D342" s="95" t="s">
        <v>866</v>
      </c>
      <c r="E342" s="116">
        <v>10000</v>
      </c>
      <c r="F342" s="390"/>
      <c r="G342" s="598">
        <v>9000</v>
      </c>
      <c r="H342" s="429">
        <f t="shared" si="16"/>
        <v>0.9</v>
      </c>
      <c r="I342" s="193" t="s">
        <v>613</v>
      </c>
    </row>
    <row r="343" spans="1:9" s="60" customFormat="1" ht="12.75">
      <c r="A343" s="119" t="s">
        <v>327</v>
      </c>
      <c r="B343" s="120">
        <v>92601</v>
      </c>
      <c r="C343" s="120">
        <v>4260</v>
      </c>
      <c r="D343" s="95" t="s">
        <v>873</v>
      </c>
      <c r="E343" s="108">
        <v>16000</v>
      </c>
      <c r="F343" s="390"/>
      <c r="G343" s="598">
        <v>16000</v>
      </c>
      <c r="H343" s="429">
        <f t="shared" si="16"/>
        <v>1</v>
      </c>
      <c r="I343" s="193" t="s">
        <v>613</v>
      </c>
    </row>
    <row r="344" spans="1:9" s="60" customFormat="1" ht="12.75">
      <c r="A344" s="119" t="s">
        <v>327</v>
      </c>
      <c r="B344" s="120">
        <v>92601</v>
      </c>
      <c r="C344" s="120">
        <v>4270</v>
      </c>
      <c r="D344" s="95" t="s">
        <v>867</v>
      </c>
      <c r="E344" s="108">
        <v>1000</v>
      </c>
      <c r="F344" s="390"/>
      <c r="G344" s="598">
        <v>1000</v>
      </c>
      <c r="H344" s="429">
        <f t="shared" si="16"/>
        <v>1</v>
      </c>
      <c r="I344" s="193" t="s">
        <v>613</v>
      </c>
    </row>
    <row r="345" spans="1:9" s="60" customFormat="1" ht="12.75">
      <c r="A345" s="119" t="s">
        <v>327</v>
      </c>
      <c r="B345" s="120">
        <v>92601</v>
      </c>
      <c r="C345" s="120">
        <v>4300</v>
      </c>
      <c r="D345" s="95" t="s">
        <v>863</v>
      </c>
      <c r="E345" s="108">
        <v>5000</v>
      </c>
      <c r="F345" s="390"/>
      <c r="G345" s="598">
        <v>4000</v>
      </c>
      <c r="H345" s="429">
        <f t="shared" si="16"/>
        <v>0.8</v>
      </c>
      <c r="I345" s="193" t="s">
        <v>613</v>
      </c>
    </row>
    <row r="346" spans="1:9" s="60" customFormat="1" ht="33.75">
      <c r="A346" s="119" t="s">
        <v>327</v>
      </c>
      <c r="B346" s="120">
        <v>92601</v>
      </c>
      <c r="C346" s="120">
        <v>4370</v>
      </c>
      <c r="D346" s="95" t="s">
        <v>703</v>
      </c>
      <c r="E346" s="108">
        <v>800</v>
      </c>
      <c r="F346" s="390"/>
      <c r="G346" s="598">
        <v>800</v>
      </c>
      <c r="H346" s="429">
        <f t="shared" si="16"/>
        <v>1</v>
      </c>
      <c r="I346" s="193" t="s">
        <v>613</v>
      </c>
    </row>
    <row r="347" spans="1:10" s="121" customFormat="1" ht="56.25">
      <c r="A347" s="119" t="s">
        <v>327</v>
      </c>
      <c r="B347" s="120">
        <v>92601</v>
      </c>
      <c r="C347" s="106">
        <v>6050</v>
      </c>
      <c r="D347" s="107" t="s">
        <v>790</v>
      </c>
      <c r="E347" s="169">
        <v>2520000</v>
      </c>
      <c r="F347" s="391">
        <v>2000000</v>
      </c>
      <c r="G347" s="770">
        <v>1200000</v>
      </c>
      <c r="H347" s="429">
        <f t="shared" si="16"/>
        <v>0.47619047619047616</v>
      </c>
      <c r="I347" s="460" t="s">
        <v>723</v>
      </c>
      <c r="J347" s="121" t="s">
        <v>339</v>
      </c>
    </row>
    <row r="348" spans="1:9" s="60" customFormat="1" ht="12.75">
      <c r="A348" s="97" t="s">
        <v>860</v>
      </c>
      <c r="B348" s="98">
        <v>92601</v>
      </c>
      <c r="C348" s="98"/>
      <c r="D348" s="99" t="s">
        <v>640</v>
      </c>
      <c r="E348" s="100">
        <f>SUM(E342:E347)</f>
        <v>2552800</v>
      </c>
      <c r="F348" s="419">
        <f>SUM(F342:F347)</f>
        <v>2000000</v>
      </c>
      <c r="G348" s="768">
        <f>SUM(G342:G347)</f>
        <v>1230800</v>
      </c>
      <c r="H348" s="425">
        <f aca="true" t="shared" si="17" ref="H348:H357">G348/E348</f>
        <v>0.4821372610466938</v>
      </c>
      <c r="I348" s="455"/>
    </row>
    <row r="349" spans="1:10" s="60" customFormat="1" ht="33.75">
      <c r="A349" s="63" t="s">
        <v>327</v>
      </c>
      <c r="B349" s="61">
        <v>92605</v>
      </c>
      <c r="C349" s="609">
        <v>2820</v>
      </c>
      <c r="D349" s="396" t="s">
        <v>597</v>
      </c>
      <c r="E349" s="171">
        <v>157800</v>
      </c>
      <c r="F349" s="395">
        <v>160000</v>
      </c>
      <c r="G349" s="827">
        <v>160000</v>
      </c>
      <c r="H349" s="424">
        <f t="shared" si="17"/>
        <v>1.0139416983523448</v>
      </c>
      <c r="I349" s="457" t="s">
        <v>8</v>
      </c>
      <c r="J349" s="848" t="s">
        <v>787</v>
      </c>
    </row>
    <row r="350" spans="1:9" s="60" customFormat="1" ht="22.5">
      <c r="A350" s="63" t="s">
        <v>327</v>
      </c>
      <c r="B350" s="61">
        <v>92605</v>
      </c>
      <c r="C350" s="110">
        <v>3040</v>
      </c>
      <c r="D350" s="118" t="s">
        <v>518</v>
      </c>
      <c r="E350" s="108">
        <v>0</v>
      </c>
      <c r="F350" s="390">
        <v>30000</v>
      </c>
      <c r="G350" s="598">
        <v>10000</v>
      </c>
      <c r="H350" s="424"/>
      <c r="I350" s="457" t="s">
        <v>539</v>
      </c>
    </row>
    <row r="351" spans="1:9" s="60" customFormat="1" ht="12.75">
      <c r="A351" s="63" t="s">
        <v>327</v>
      </c>
      <c r="B351" s="61">
        <v>92605</v>
      </c>
      <c r="C351" s="110">
        <v>3250</v>
      </c>
      <c r="D351" s="118" t="s">
        <v>519</v>
      </c>
      <c r="E351" s="108">
        <v>0</v>
      </c>
      <c r="F351" s="390">
        <v>30000</v>
      </c>
      <c r="G351" s="598">
        <v>10000</v>
      </c>
      <c r="H351" s="424"/>
      <c r="I351" s="457" t="s">
        <v>540</v>
      </c>
    </row>
    <row r="352" spans="1:9" s="60" customFormat="1" ht="12.75">
      <c r="A352" s="63" t="s">
        <v>327</v>
      </c>
      <c r="B352" s="61">
        <v>92605</v>
      </c>
      <c r="C352" s="444">
        <v>4170</v>
      </c>
      <c r="D352" s="114" t="s">
        <v>871</v>
      </c>
      <c r="E352" s="179">
        <v>12000</v>
      </c>
      <c r="F352" s="435">
        <v>14400</v>
      </c>
      <c r="G352" s="791">
        <v>14400</v>
      </c>
      <c r="H352" s="424">
        <f t="shared" si="17"/>
        <v>1.2</v>
      </c>
      <c r="I352" s="457" t="s">
        <v>841</v>
      </c>
    </row>
    <row r="353" spans="1:10" s="60" customFormat="1" ht="12.75">
      <c r="A353" s="63" t="s">
        <v>327</v>
      </c>
      <c r="B353" s="61">
        <v>92605</v>
      </c>
      <c r="C353" s="759">
        <v>4177</v>
      </c>
      <c r="D353" s="760" t="s">
        <v>789</v>
      </c>
      <c r="E353" s="671"/>
      <c r="F353" s="672"/>
      <c r="G353" s="770">
        <v>37408.5</v>
      </c>
      <c r="H353" s="424"/>
      <c r="I353" s="457"/>
      <c r="J353" s="60" t="s">
        <v>306</v>
      </c>
    </row>
    <row r="354" spans="1:10" s="60" customFormat="1" ht="12.75">
      <c r="A354" s="63" t="s">
        <v>327</v>
      </c>
      <c r="B354" s="61">
        <v>92605</v>
      </c>
      <c r="C354" s="759">
        <v>4179</v>
      </c>
      <c r="D354" s="760" t="s">
        <v>789</v>
      </c>
      <c r="E354" s="671"/>
      <c r="F354" s="672"/>
      <c r="G354" s="770">
        <v>6601.5</v>
      </c>
      <c r="H354" s="424"/>
      <c r="I354" s="457"/>
      <c r="J354" s="60" t="s">
        <v>306</v>
      </c>
    </row>
    <row r="355" spans="1:9" s="60" customFormat="1" ht="21">
      <c r="A355" s="97" t="s">
        <v>860</v>
      </c>
      <c r="B355" s="98">
        <v>92605</v>
      </c>
      <c r="C355" s="98"/>
      <c r="D355" s="99" t="s">
        <v>641</v>
      </c>
      <c r="E355" s="100">
        <f>SUM(E349:E354)</f>
        <v>169800</v>
      </c>
      <c r="F355" s="100">
        <f>SUM(F349:F354)</f>
        <v>234400</v>
      </c>
      <c r="G355" s="177">
        <f>SUM(G349:G354)</f>
        <v>238410</v>
      </c>
      <c r="H355" s="425">
        <f t="shared" si="17"/>
        <v>1.4040636042402828</v>
      </c>
      <c r="I355" s="455"/>
    </row>
    <row r="356" spans="1:9" s="60" customFormat="1" ht="12.75">
      <c r="A356" s="101" t="s">
        <v>327</v>
      </c>
      <c r="B356" s="102" t="s">
        <v>474</v>
      </c>
      <c r="C356" s="102"/>
      <c r="D356" s="103" t="s">
        <v>645</v>
      </c>
      <c r="E356" s="104">
        <f>E348+E355</f>
        <v>2722600</v>
      </c>
      <c r="F356" s="104">
        <f>F348+F355</f>
        <v>2234400</v>
      </c>
      <c r="G356" s="828">
        <f>G348+G355</f>
        <v>1469210</v>
      </c>
      <c r="H356" s="423">
        <f t="shared" si="17"/>
        <v>0.5396349078087123</v>
      </c>
      <c r="I356" s="456"/>
    </row>
    <row r="357" spans="1:9" s="60" customFormat="1" ht="13.5" thickBot="1">
      <c r="A357" s="1361" t="s">
        <v>328</v>
      </c>
      <c r="B357" s="1361"/>
      <c r="C357" s="1361"/>
      <c r="D357" s="1361"/>
      <c r="E357" s="126">
        <f>E9+E12+E15+E33+E64+E71+E138+E158+E161+E197+E206+E211+E241+E270+E276+E285+E323+E341+E356</f>
        <v>34845235</v>
      </c>
      <c r="F357" s="393" t="e">
        <f>F9+F12+F15+F33+F64+F71+F138+F158+F161+F197+F206+F211+F241+F270+F276+F285+F323+F341+F356</f>
        <v>#REF!</v>
      </c>
      <c r="G357" s="829">
        <f>G9+G12+G15+G33+G64+G71+G138+G158+G161+G197+G206+G211+G241+G270+G276+G285+G323+G341+G356</f>
        <v>26097480</v>
      </c>
      <c r="H357" s="432">
        <f t="shared" si="17"/>
        <v>0.7489540535456283</v>
      </c>
      <c r="I357" s="463"/>
    </row>
    <row r="358" spans="1:9" s="131" customFormat="1" ht="12.75">
      <c r="A358" s="127"/>
      <c r="B358" s="128"/>
      <c r="C358" s="128"/>
      <c r="D358" s="129"/>
      <c r="E358" s="130"/>
      <c r="F358" s="130"/>
      <c r="G358" s="830"/>
      <c r="H358" s="130"/>
      <c r="I358" s="204"/>
    </row>
    <row r="359" spans="1:9" ht="12.75">
      <c r="A359" s="64" t="s">
        <v>329</v>
      </c>
      <c r="D359" s="132"/>
      <c r="E359" s="64"/>
      <c r="F359" s="64"/>
      <c r="H359" s="133"/>
      <c r="I359" s="464"/>
    </row>
    <row r="360" spans="1:9" ht="12.75">
      <c r="A360" s="134" t="s">
        <v>330</v>
      </c>
      <c r="B360" s="64" t="s">
        <v>331</v>
      </c>
      <c r="D360" s="132"/>
      <c r="E360" s="64"/>
      <c r="F360" s="64"/>
      <c r="H360" s="133"/>
      <c r="I360" s="464"/>
    </row>
    <row r="361" spans="1:9" ht="12.75">
      <c r="A361" s="134" t="s">
        <v>332</v>
      </c>
      <c r="B361" s="64" t="s">
        <v>333</v>
      </c>
      <c r="D361" s="132"/>
      <c r="E361" s="64"/>
      <c r="F361" s="64"/>
      <c r="H361" s="133"/>
      <c r="I361" s="464"/>
    </row>
    <row r="362" spans="1:9" s="131" customFormat="1" ht="12.75">
      <c r="A362" s="135"/>
      <c r="B362" s="136"/>
      <c r="C362" s="136"/>
      <c r="D362" s="136"/>
      <c r="E362" s="137"/>
      <c r="F362" s="137"/>
      <c r="G362" s="830"/>
      <c r="H362" s="137"/>
      <c r="I362" s="191"/>
    </row>
    <row r="363" spans="1:9" s="141" customFormat="1" ht="13.5">
      <c r="A363" s="1362" t="s">
        <v>762</v>
      </c>
      <c r="B363" s="1362"/>
      <c r="C363" s="1362"/>
      <c r="D363" s="138"/>
      <c r="E363" s="139"/>
      <c r="F363" s="139"/>
      <c r="G363" s="832"/>
      <c r="H363" s="140"/>
      <c r="I363" s="465"/>
    </row>
    <row r="364" spans="1:9" s="141" customFormat="1" ht="63.75">
      <c r="A364" s="375"/>
      <c r="B364" s="375"/>
      <c r="C364" s="376" t="s">
        <v>417</v>
      </c>
      <c r="D364" s="377"/>
      <c r="E364" s="378" t="s">
        <v>810</v>
      </c>
      <c r="F364" s="379" t="s">
        <v>258</v>
      </c>
      <c r="G364" s="833" t="s">
        <v>775</v>
      </c>
      <c r="H364" s="380" t="s">
        <v>811</v>
      </c>
      <c r="I364" s="466"/>
    </row>
    <row r="365" spans="1:9" s="60" customFormat="1" ht="12.75">
      <c r="A365" s="276" t="s">
        <v>420</v>
      </c>
      <c r="B365" s="272"/>
      <c r="C365" s="384">
        <v>6050</v>
      </c>
      <c r="D365" s="385" t="s">
        <v>259</v>
      </c>
      <c r="E365" s="386">
        <f>E13+E27+E28+E29+E30+E31+E42+E43+E55+E56+E57+E58+E59+E116+E117+E118+E119+E179+E216+E217+E218+E219+E220+E221+E222+E223+E224+E225+E231+E232+E292+E293+E294+E295+E296+E297+E319+E327+E328+E333+E347</f>
        <v>7547227</v>
      </c>
      <c r="F365" s="386">
        <f>F13+F27+F28+F29+F30+F31+F42+F43+F55+F56+F57+F58+F59+F116+F117+F118+F119+F179+F216+F217+F218+F219+F220+F221+F222+F223+F224+F225+F231+F232+F292+F293+F294+F295+F296+F297+F319+F327+F328+F333+F347</f>
        <v>15907602</v>
      </c>
      <c r="G365" s="834">
        <f>G13+G27+G28+G29+G30+G31+G42+G43+G55+G56+G57+G58+G59+G116+G117+G118+G119+G179+G216+G217+G218+G219+G220+G221+G222+G223+G224+G225+G231+G232+G292+G293+G294+G295+G296+G297+G319+G327+G328+G333+G347</f>
        <v>5959500</v>
      </c>
      <c r="H365" s="387">
        <f>G365/E365</f>
        <v>0.7896277665955986</v>
      </c>
      <c r="I365" s="467"/>
    </row>
    <row r="366" spans="1:9" s="60" customFormat="1" ht="22.5">
      <c r="A366" s="276"/>
      <c r="B366" s="272"/>
      <c r="C366" s="384">
        <v>6059</v>
      </c>
      <c r="D366" s="385" t="s">
        <v>260</v>
      </c>
      <c r="E366" s="386">
        <f>E298+E299+E300</f>
        <v>7069216</v>
      </c>
      <c r="F366" s="386">
        <f>F298+F299+F300</f>
        <v>0</v>
      </c>
      <c r="G366" s="834">
        <f>G298+G299+G300</f>
        <v>0</v>
      </c>
      <c r="H366" s="387">
        <f>G366/E366</f>
        <v>0</v>
      </c>
      <c r="I366" s="467"/>
    </row>
    <row r="367" spans="1:9" s="60" customFormat="1" ht="22.5">
      <c r="A367" s="276"/>
      <c r="B367" s="272"/>
      <c r="C367" s="384">
        <v>6060</v>
      </c>
      <c r="D367" s="385" t="s">
        <v>261</v>
      </c>
      <c r="E367" s="386">
        <f>E60+E61+E62+E120+E189+E194+E195</f>
        <v>351358</v>
      </c>
      <c r="F367" s="386">
        <f>F60+F61+F62+F120+F189+F194+F195</f>
        <v>800000</v>
      </c>
      <c r="G367" s="834">
        <f>G60+G61+G62+G120+G189+G194+G195</f>
        <v>300000</v>
      </c>
      <c r="H367" s="387">
        <f>G367/E367</f>
        <v>0.853829996755446</v>
      </c>
      <c r="I367" s="467"/>
    </row>
    <row r="368" spans="1:9" s="60" customFormat="1" ht="33.75">
      <c r="A368" s="276"/>
      <c r="B368" s="272"/>
      <c r="C368" s="272">
        <v>6170</v>
      </c>
      <c r="D368" s="388" t="s">
        <v>583</v>
      </c>
      <c r="E368" s="274">
        <f>E163</f>
        <v>25000</v>
      </c>
      <c r="F368" s="274">
        <f>F163</f>
        <v>0</v>
      </c>
      <c r="G368" s="835">
        <f>G163</f>
        <v>0</v>
      </c>
      <c r="H368" s="190"/>
      <c r="I368" s="468"/>
    </row>
    <row r="369" spans="1:9" s="60" customFormat="1" ht="33.75">
      <c r="A369" s="276"/>
      <c r="B369" s="272"/>
      <c r="C369" s="272">
        <v>6300</v>
      </c>
      <c r="D369" s="388" t="s">
        <v>769</v>
      </c>
      <c r="E369" s="274">
        <f>E20+E21+E22+E165+E242</f>
        <v>795000</v>
      </c>
      <c r="F369" s="274">
        <f>F20+F21+F22+F165+F242</f>
        <v>0</v>
      </c>
      <c r="G369" s="835">
        <f>G20+G21+G22+G165+G242</f>
        <v>10000</v>
      </c>
      <c r="H369" s="190">
        <f>G369/E369</f>
        <v>0.012578616352201259</v>
      </c>
      <c r="I369" s="468"/>
    </row>
    <row r="370" spans="1:9" s="60" customFormat="1" ht="56.25">
      <c r="A370" s="276"/>
      <c r="B370" s="272"/>
      <c r="C370" s="272">
        <v>6639</v>
      </c>
      <c r="D370" s="388" t="s">
        <v>578</v>
      </c>
      <c r="E370" s="274">
        <f>E10+E136</f>
        <v>10778</v>
      </c>
      <c r="F370" s="274">
        <f>F10+F136</f>
        <v>12033</v>
      </c>
      <c r="G370" s="835">
        <f>G10+G136</f>
        <v>27274</v>
      </c>
      <c r="H370" s="190"/>
      <c r="I370" s="468"/>
    </row>
    <row r="371" spans="1:9" s="60" customFormat="1" ht="12.75">
      <c r="A371" s="1363" t="s">
        <v>19</v>
      </c>
      <c r="B371" s="1364"/>
      <c r="C371" s="1365"/>
      <c r="D371" s="381"/>
      <c r="E371" s="382">
        <f>SUM(E365:E370)</f>
        <v>15798579</v>
      </c>
      <c r="F371" s="382">
        <f>SUM(F365:F370)</f>
        <v>16719635</v>
      </c>
      <c r="G371" s="836">
        <f>SUM(G365:G370)</f>
        <v>6296774</v>
      </c>
      <c r="H371" s="383">
        <f>G371/E371</f>
        <v>0.3985658457004266</v>
      </c>
      <c r="I371" s="469"/>
    </row>
    <row r="372" spans="1:9" s="60" customFormat="1" ht="12.75">
      <c r="A372" s="1366" t="s">
        <v>262</v>
      </c>
      <c r="B372" s="1366"/>
      <c r="C372" s="1366"/>
      <c r="D372" s="142"/>
      <c r="E372" s="143">
        <f>E357-E371</f>
        <v>19046656</v>
      </c>
      <c r="F372" s="143" t="e">
        <f>F357-F371</f>
        <v>#REF!</v>
      </c>
      <c r="G372" s="837">
        <f>G357-G371</f>
        <v>19800706</v>
      </c>
      <c r="H372" s="144">
        <f>G372/E372</f>
        <v>1.0395896266515234</v>
      </c>
      <c r="I372" s="470"/>
    </row>
    <row r="373" spans="1:9" s="60" customFormat="1" ht="12.75">
      <c r="A373" s="1360" t="s">
        <v>323</v>
      </c>
      <c r="B373" s="1360"/>
      <c r="C373" s="1360"/>
      <c r="D373" s="145"/>
      <c r="E373" s="104">
        <f>SUM(E371:E372)</f>
        <v>34845235</v>
      </c>
      <c r="F373" s="104" t="e">
        <f>SUM(F371:F372)</f>
        <v>#REF!</v>
      </c>
      <c r="G373" s="838">
        <f>SUM(G371:G372)</f>
        <v>26097480</v>
      </c>
      <c r="H373" s="105">
        <f>G373/E373</f>
        <v>0.7489540535456283</v>
      </c>
      <c r="I373" s="471"/>
    </row>
    <row r="374" spans="4:5" ht="12.75">
      <c r="D374" s="117"/>
      <c r="E374" s="146"/>
    </row>
    <row r="376" spans="4:9" ht="12.75">
      <c r="D376" s="182" t="s">
        <v>322</v>
      </c>
      <c r="E376" s="183" t="e">
        <f>#REF!+#REF!+#REF!+#REF!+#REF!+#REF!</f>
        <v>#REF!</v>
      </c>
      <c r="F376" s="183" t="e">
        <f>#REF!+#REF!+#REF!+#REF!+#REF!+#REF!</f>
        <v>#REF!</v>
      </c>
      <c r="G376" s="839" t="e">
        <f>#REF!+#REF!+#REF!+#REF!+#REF!+#REF!</f>
        <v>#REF!</v>
      </c>
      <c r="H376" s="184"/>
      <c r="I376" s="473"/>
    </row>
    <row r="377" spans="4:9" ht="12.75">
      <c r="D377" s="182" t="s">
        <v>325</v>
      </c>
      <c r="E377" s="183" t="e">
        <f>#REF!+#REF!</f>
        <v>#REF!</v>
      </c>
      <c r="F377" s="183" t="e">
        <f>#REF!+#REF!</f>
        <v>#REF!</v>
      </c>
      <c r="G377" s="840" t="e">
        <f>#REF!+#REF!</f>
        <v>#REF!</v>
      </c>
      <c r="H377" s="184"/>
      <c r="I377" s="473"/>
    </row>
    <row r="378" spans="4:9" ht="12.75">
      <c r="D378" s="182" t="s">
        <v>433</v>
      </c>
      <c r="E378" s="183" t="e">
        <f>#REF!</f>
        <v>#REF!</v>
      </c>
      <c r="F378" s="183" t="e">
        <f>#REF!</f>
        <v>#REF!</v>
      </c>
      <c r="G378" s="840" t="e">
        <f>#REF!</f>
        <v>#REF!</v>
      </c>
      <c r="H378" s="184"/>
      <c r="I378" s="473"/>
    </row>
    <row r="379" spans="4:9" ht="12.75">
      <c r="D379" s="182" t="s">
        <v>321</v>
      </c>
      <c r="E379" s="183" t="e">
        <f>#REF!+#REF!+#REF!</f>
        <v>#REF!</v>
      </c>
      <c r="F379" s="183" t="e">
        <f>#REF!+#REF!+#REF!</f>
        <v>#REF!</v>
      </c>
      <c r="G379" s="839" t="e">
        <f>#REF!+#REF!+#REF!</f>
        <v>#REF!</v>
      </c>
      <c r="H379" s="184"/>
      <c r="I379" s="473"/>
    </row>
    <row r="380" spans="4:9" ht="12.75">
      <c r="D380" s="185" t="s">
        <v>263</v>
      </c>
      <c r="E380" s="186" t="e">
        <f>E371+E376+E377+E378+E379</f>
        <v>#REF!</v>
      </c>
      <c r="F380" s="186" t="e">
        <f>F371+F376+F377+F378+F379</f>
        <v>#REF!</v>
      </c>
      <c r="G380" s="841" t="e">
        <f>G371+G376+G377+G378+G379</f>
        <v>#REF!</v>
      </c>
      <c r="H380" s="184"/>
      <c r="I380" s="473"/>
    </row>
    <row r="381" spans="3:7" ht="1.5" customHeight="1" hidden="1">
      <c r="C381" s="601">
        <v>605.606</v>
      </c>
      <c r="D381" s="182" t="s">
        <v>395</v>
      </c>
      <c r="G381" s="842" t="e">
        <f>G380-G368-G369-G370</f>
        <v>#REF!</v>
      </c>
    </row>
    <row r="382" spans="4:7" ht="12.75">
      <c r="D382" s="433"/>
      <c r="G382" s="843"/>
    </row>
    <row r="383" spans="5:9" ht="12.75">
      <c r="E383" s="85">
        <v>2010</v>
      </c>
      <c r="G383" s="600">
        <v>2011</v>
      </c>
      <c r="H383" s="148" t="s">
        <v>264</v>
      </c>
      <c r="I383" s="474"/>
    </row>
    <row r="384" spans="3:9" ht="12.75">
      <c r="C384" s="64" t="s">
        <v>24</v>
      </c>
      <c r="D384" s="533" t="s">
        <v>284</v>
      </c>
      <c r="E384" s="147">
        <f>E34+E45+E65+E72+E73+E74+E77+E86+E87+E88+E89+E91+E123+E124+E125+E131+E139+E140+E141+E146+E151+E152+E153+E213+E248+E255+E286+E337+E352</f>
        <v>4790886</v>
      </c>
      <c r="F384" s="147">
        <f>F34+F45+F65+F72+F73+F74+F77+F86+F87+F88+F89+F91+F123+F124+F125+F131+F139+F140+F141+F146+F151+F152+F153+F213+F248+F255+F286+F337+F352</f>
        <v>5107919</v>
      </c>
      <c r="G384" s="844">
        <f>G34+G45+G65+G72+G73+G74+G77+G86+G87+G88+G89+G91+G123+G124+G125+G131+G139+G140+G141+G146+G151+G152+G153+G213+G248+G255+G286+G337+G352</f>
        <v>5114454</v>
      </c>
      <c r="H384" s="96">
        <f>G384/E384</f>
        <v>1.0675382382298388</v>
      </c>
      <c r="I384" s="468"/>
    </row>
    <row r="385" ht="12.75">
      <c r="G385" s="600"/>
    </row>
    <row r="386" spans="4:7" ht="15.75">
      <c r="D386" s="150" t="s">
        <v>264</v>
      </c>
      <c r="E386" s="149"/>
      <c r="F386" s="149"/>
      <c r="G386" s="844">
        <f>G384-E384</f>
        <v>323568</v>
      </c>
    </row>
    <row r="388" ht="12.75">
      <c r="A388" s="448" t="s">
        <v>710</v>
      </c>
    </row>
    <row r="389" ht="12.75">
      <c r="A389" s="448"/>
    </row>
  </sheetData>
  <mergeCells count="8">
    <mergeCell ref="A1:H1"/>
    <mergeCell ref="A2:H2"/>
    <mergeCell ref="A3:H3"/>
    <mergeCell ref="A373:C373"/>
    <mergeCell ref="A357:D357"/>
    <mergeCell ref="A363:C363"/>
    <mergeCell ref="A371:C371"/>
    <mergeCell ref="A372:C372"/>
  </mergeCells>
  <printOptions horizontalCentered="1"/>
  <pageMargins left="0" right="0" top="0.7874015748031497" bottom="0.5905511811023623" header="0.5118110236220472" footer="0.31496062992125984"/>
  <pageSetup horizontalDpi="300" verticalDpi="300" orientation="landscape" paperSize="9" r:id="rId1"/>
  <headerFooter alignWithMargins="0">
    <oddFooter>&amp;CStrona &amp;P</oddFooter>
  </headerFooter>
  <rowBreaks count="1" manualBreakCount="1">
    <brk id="3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4">
      <selection activeCell="I4" sqref="I1:I16384"/>
    </sheetView>
  </sheetViews>
  <sheetFormatPr defaultColWidth="9.33203125" defaultRowHeight="12.75"/>
  <cols>
    <col min="1" max="1" width="6" style="247" bestFit="1" customWidth="1"/>
    <col min="2" max="2" width="9" style="247" bestFit="1" customWidth="1"/>
    <col min="3" max="3" width="45.5" style="247" customWidth="1"/>
    <col min="4" max="4" width="14" style="247" bestFit="1" customWidth="1"/>
    <col min="5" max="5" width="14.16015625" style="247" customWidth="1"/>
    <col min="6" max="6" width="12.66015625" style="247" customWidth="1"/>
    <col min="7" max="9" width="0" style="247" hidden="1" customWidth="1"/>
    <col min="10" max="16384" width="9.33203125" style="247" customWidth="1"/>
  </cols>
  <sheetData>
    <row r="1" ht="12.75">
      <c r="F1" s="856" t="s">
        <v>815</v>
      </c>
    </row>
    <row r="2" ht="12.75">
      <c r="F2" s="856" t="s">
        <v>795</v>
      </c>
    </row>
    <row r="3" spans="1:6" ht="12.75">
      <c r="A3" s="1372" t="s">
        <v>177</v>
      </c>
      <c r="B3" s="1372"/>
      <c r="C3" s="1372"/>
      <c r="D3" s="1372"/>
      <c r="E3" s="1372"/>
      <c r="F3" s="1372"/>
    </row>
    <row r="4" spans="1:6" ht="12.75">
      <c r="A4" s="865"/>
      <c r="B4" s="865"/>
      <c r="C4" s="865"/>
      <c r="D4" s="865"/>
      <c r="E4" s="865"/>
      <c r="F4" s="236" t="s">
        <v>428</v>
      </c>
    </row>
    <row r="5" s="867" customFormat="1" ht="15.75">
      <c r="A5" s="866"/>
    </row>
    <row r="6" spans="1:6" ht="31.5" customHeight="1">
      <c r="A6" s="1265" t="s">
        <v>334</v>
      </c>
      <c r="B6" s="1265"/>
      <c r="C6" s="1265"/>
      <c r="D6" s="1265"/>
      <c r="E6" s="1265"/>
      <c r="F6" s="1265"/>
    </row>
    <row r="7" spans="1:6" s="869" customFormat="1" ht="12.75">
      <c r="A7" s="868"/>
      <c r="F7" s="870"/>
    </row>
    <row r="8" spans="1:6" ht="12.75">
      <c r="A8" s="1370" t="s">
        <v>414</v>
      </c>
      <c r="B8" s="1370" t="s">
        <v>415</v>
      </c>
      <c r="C8" s="1371" t="s">
        <v>286</v>
      </c>
      <c r="D8" s="1374" t="s">
        <v>376</v>
      </c>
      <c r="E8" s="1375"/>
      <c r="F8" s="1376"/>
    </row>
    <row r="9" spans="1:6" ht="12.75">
      <c r="A9" s="1370"/>
      <c r="B9" s="1370"/>
      <c r="C9" s="1371"/>
      <c r="D9" s="1367" t="s">
        <v>849</v>
      </c>
      <c r="E9" s="1368"/>
      <c r="F9" s="1369"/>
    </row>
    <row r="10" spans="1:6" ht="18" customHeight="1">
      <c r="A10" s="1370"/>
      <c r="B10" s="1370"/>
      <c r="C10" s="1370"/>
      <c r="D10" s="871" t="s">
        <v>850</v>
      </c>
      <c r="E10" s="871" t="s">
        <v>851</v>
      </c>
      <c r="F10" s="871" t="s">
        <v>852</v>
      </c>
    </row>
    <row r="11" spans="1:6" s="1013" customFormat="1" ht="8.25">
      <c r="A11" s="1010">
        <v>1</v>
      </c>
      <c r="B11" s="1011">
        <v>2</v>
      </c>
      <c r="C11" s="1011">
        <v>3</v>
      </c>
      <c r="D11" s="1011">
        <v>4</v>
      </c>
      <c r="E11" s="1011">
        <v>5</v>
      </c>
      <c r="F11" s="1012">
        <v>6</v>
      </c>
    </row>
    <row r="12" spans="1:6" ht="40.5" customHeight="1">
      <c r="A12" s="1373" t="s">
        <v>677</v>
      </c>
      <c r="B12" s="1373"/>
      <c r="C12" s="872" t="s">
        <v>647</v>
      </c>
      <c r="D12" s="873"/>
      <c r="E12" s="873"/>
      <c r="F12" s="873"/>
    </row>
    <row r="13" spans="1:8" ht="25.5">
      <c r="A13" s="874">
        <v>851</v>
      </c>
      <c r="B13" s="874">
        <v>85121</v>
      </c>
      <c r="C13" s="875" t="s">
        <v>380</v>
      </c>
      <c r="D13" s="1014">
        <v>53000</v>
      </c>
      <c r="E13" s="1014">
        <v>0</v>
      </c>
      <c r="F13" s="1014">
        <v>0</v>
      </c>
      <c r="H13" s="247">
        <v>3000</v>
      </c>
    </row>
    <row r="14" spans="1:8" ht="12.75">
      <c r="A14" s="874">
        <v>921</v>
      </c>
      <c r="B14" s="874">
        <v>92109</v>
      </c>
      <c r="C14" s="875" t="s">
        <v>504</v>
      </c>
      <c r="D14" s="1015">
        <v>650000</v>
      </c>
      <c r="E14" s="1014">
        <v>0</v>
      </c>
      <c r="F14" s="1014">
        <v>0</v>
      </c>
      <c r="H14" s="590">
        <v>30000</v>
      </c>
    </row>
    <row r="15" spans="1:6" ht="12.75">
      <c r="A15" s="874">
        <v>921</v>
      </c>
      <c r="B15" s="874">
        <v>92116</v>
      </c>
      <c r="C15" s="875" t="s">
        <v>381</v>
      </c>
      <c r="D15" s="1014">
        <v>483330</v>
      </c>
      <c r="E15" s="1014">
        <v>0</v>
      </c>
      <c r="F15" s="1014">
        <v>0</v>
      </c>
    </row>
    <row r="16" spans="1:6" ht="12.75">
      <c r="A16" s="876"/>
      <c r="B16" s="876"/>
      <c r="C16" s="872" t="s">
        <v>382</v>
      </c>
      <c r="D16" s="1016"/>
      <c r="E16" s="1016"/>
      <c r="F16" s="1016"/>
    </row>
    <row r="17" spans="1:9" ht="116.25" customHeight="1">
      <c r="A17" s="874">
        <v>150</v>
      </c>
      <c r="B17" s="874">
        <v>15011</v>
      </c>
      <c r="C17" s="878" t="s">
        <v>127</v>
      </c>
      <c r="D17" s="1014">
        <v>0</v>
      </c>
      <c r="E17" s="1014">
        <v>0</v>
      </c>
      <c r="F17" s="1017">
        <v>6269.95</v>
      </c>
      <c r="I17" s="247">
        <v>-8400.05</v>
      </c>
    </row>
    <row r="18" spans="1:6" ht="93.75" customHeight="1" hidden="1">
      <c r="A18" s="346">
        <v>600</v>
      </c>
      <c r="B18" s="346">
        <v>60014</v>
      </c>
      <c r="C18" s="878" t="s">
        <v>724</v>
      </c>
      <c r="D18" s="1014">
        <v>0</v>
      </c>
      <c r="E18" s="1014">
        <v>0</v>
      </c>
      <c r="F18" s="1017">
        <f>UM!G20</f>
        <v>0</v>
      </c>
    </row>
    <row r="19" spans="1:6" ht="89.25" hidden="1">
      <c r="A19" s="346">
        <v>600</v>
      </c>
      <c r="B19" s="346">
        <v>60014</v>
      </c>
      <c r="C19" s="878" t="s">
        <v>725</v>
      </c>
      <c r="D19" s="1014">
        <v>0</v>
      </c>
      <c r="E19" s="1014">
        <v>0</v>
      </c>
      <c r="F19" s="1017">
        <f>UM!G21</f>
        <v>0</v>
      </c>
    </row>
    <row r="20" spans="1:9" ht="116.25" customHeight="1">
      <c r="A20" s="874">
        <v>750</v>
      </c>
      <c r="B20" s="874">
        <v>75095</v>
      </c>
      <c r="C20" s="878" t="s">
        <v>309</v>
      </c>
      <c r="D20" s="1014">
        <v>0</v>
      </c>
      <c r="E20" s="1014">
        <v>0</v>
      </c>
      <c r="F20" s="1017">
        <v>3610.84</v>
      </c>
      <c r="I20" s="247">
        <v>-8993.16</v>
      </c>
    </row>
    <row r="21" spans="1:6" ht="68.25" customHeight="1" hidden="1">
      <c r="A21" s="879" t="s">
        <v>582</v>
      </c>
      <c r="B21" s="346">
        <v>75411</v>
      </c>
      <c r="C21" s="880" t="s">
        <v>726</v>
      </c>
      <c r="D21" s="1015">
        <v>0</v>
      </c>
      <c r="E21" s="1014">
        <v>0</v>
      </c>
      <c r="F21" s="1017">
        <f>UM!G165</f>
        <v>0</v>
      </c>
    </row>
    <row r="22" spans="1:6" ht="91.5" customHeight="1">
      <c r="A22" s="346">
        <v>754</v>
      </c>
      <c r="B22" s="346">
        <v>75421</v>
      </c>
      <c r="C22" s="881" t="s">
        <v>182</v>
      </c>
      <c r="D22" s="1014">
        <v>0</v>
      </c>
      <c r="E22" s="1014">
        <v>0</v>
      </c>
      <c r="F22" s="1017">
        <f>'TAB_ nr 2a_wyd. majątkowe'!F118</f>
        <v>8000</v>
      </c>
    </row>
    <row r="23" spans="1:6" ht="63.75">
      <c r="A23" s="876">
        <v>801</v>
      </c>
      <c r="B23" s="876">
        <v>80104</v>
      </c>
      <c r="C23" s="882" t="s">
        <v>239</v>
      </c>
      <c r="D23" s="1014">
        <v>0</v>
      </c>
      <c r="E23" s="1014">
        <v>0</v>
      </c>
      <c r="F23" s="1014">
        <f>UM!G227</f>
        <v>500000</v>
      </c>
    </row>
    <row r="24" spans="1:6" ht="89.25">
      <c r="A24" s="876">
        <v>851</v>
      </c>
      <c r="B24" s="259">
        <v>85111</v>
      </c>
      <c r="C24" s="883" t="s">
        <v>838</v>
      </c>
      <c r="D24" s="1014">
        <v>0</v>
      </c>
      <c r="E24" s="1014">
        <v>0</v>
      </c>
      <c r="F24" s="1017">
        <f>UM!G242</f>
        <v>10000</v>
      </c>
    </row>
    <row r="25" spans="1:6" s="885" customFormat="1" ht="67.5" customHeight="1">
      <c r="A25" s="346">
        <v>851</v>
      </c>
      <c r="B25" s="346">
        <v>85149</v>
      </c>
      <c r="C25" s="884" t="s">
        <v>175</v>
      </c>
      <c r="D25" s="1014"/>
      <c r="E25" s="1014"/>
      <c r="F25" s="1015">
        <f>UM!G246</f>
        <v>5000</v>
      </c>
    </row>
    <row r="26" spans="1:6" s="490" customFormat="1" ht="25.5" customHeight="1">
      <c r="A26" s="1180" t="s">
        <v>506</v>
      </c>
      <c r="B26" s="1180"/>
      <c r="C26" s="1180"/>
      <c r="D26" s="1018">
        <f>SUM(D13:D25)</f>
        <v>1186330</v>
      </c>
      <c r="E26" s="1018">
        <f>SUM(E13:E25)</f>
        <v>0</v>
      </c>
      <c r="F26" s="1018">
        <f>SUM(F13:F25)</f>
        <v>532880.79</v>
      </c>
    </row>
    <row r="27" spans="1:6" s="888" customFormat="1" ht="12" customHeight="1">
      <c r="A27" s="886"/>
      <c r="B27" s="886"/>
      <c r="C27" s="886"/>
      <c r="D27" s="887"/>
      <c r="E27" s="887"/>
      <c r="F27" s="887"/>
    </row>
    <row r="28" spans="1:6" ht="12.75">
      <c r="A28" s="1370" t="s">
        <v>414</v>
      </c>
      <c r="B28" s="1370" t="s">
        <v>415</v>
      </c>
      <c r="C28" s="1371" t="s">
        <v>286</v>
      </c>
      <c r="D28" s="1374" t="s">
        <v>376</v>
      </c>
      <c r="E28" s="1375"/>
      <c r="F28" s="1376"/>
    </row>
    <row r="29" spans="1:6" ht="12.75">
      <c r="A29" s="1370"/>
      <c r="B29" s="1370"/>
      <c r="C29" s="1371"/>
      <c r="D29" s="1367" t="s">
        <v>849</v>
      </c>
      <c r="E29" s="1368"/>
      <c r="F29" s="1369"/>
    </row>
    <row r="30" spans="1:6" ht="18" customHeight="1">
      <c r="A30" s="1370"/>
      <c r="B30" s="1370"/>
      <c r="C30" s="1370"/>
      <c r="D30" s="871" t="s">
        <v>850</v>
      </c>
      <c r="E30" s="871" t="s">
        <v>851</v>
      </c>
      <c r="F30" s="871" t="s">
        <v>852</v>
      </c>
    </row>
    <row r="31" spans="1:6" s="1013" customFormat="1" ht="8.25">
      <c r="A31" s="1010">
        <v>1</v>
      </c>
      <c r="B31" s="1010">
        <v>2</v>
      </c>
      <c r="C31" s="1010">
        <v>3</v>
      </c>
      <c r="D31" s="1010">
        <v>4</v>
      </c>
      <c r="E31" s="1010">
        <v>5</v>
      </c>
      <c r="F31" s="1010">
        <v>6</v>
      </c>
    </row>
    <row r="32" spans="1:6" ht="54" customHeight="1">
      <c r="A32" s="1373" t="s">
        <v>678</v>
      </c>
      <c r="B32" s="1373"/>
      <c r="C32" s="872" t="s">
        <v>647</v>
      </c>
      <c r="D32" s="877"/>
      <c r="E32" s="877"/>
      <c r="F32" s="877"/>
    </row>
    <row r="33" spans="1:6" ht="25.5">
      <c r="A33" s="874">
        <v>801</v>
      </c>
      <c r="B33" s="874">
        <v>80104</v>
      </c>
      <c r="C33" s="889" t="s">
        <v>377</v>
      </c>
      <c r="D33" s="1014">
        <f>UM!G228</f>
        <v>629000</v>
      </c>
      <c r="E33" s="1014">
        <v>0</v>
      </c>
      <c r="F33" s="1014">
        <v>0</v>
      </c>
    </row>
    <row r="34" spans="1:6" ht="25.5">
      <c r="A34" s="874">
        <v>801</v>
      </c>
      <c r="B34" s="874">
        <v>80104</v>
      </c>
      <c r="C34" s="889" t="s">
        <v>378</v>
      </c>
      <c r="D34" s="1014">
        <f>UM!G229</f>
        <v>67000</v>
      </c>
      <c r="E34" s="1014">
        <v>0</v>
      </c>
      <c r="F34" s="1014">
        <v>0</v>
      </c>
    </row>
    <row r="35" spans="1:6" ht="25.5">
      <c r="A35" s="874">
        <v>801</v>
      </c>
      <c r="B35" s="874">
        <v>80104</v>
      </c>
      <c r="C35" s="889" t="s">
        <v>379</v>
      </c>
      <c r="D35" s="1014">
        <f>UM!G230</f>
        <v>712000</v>
      </c>
      <c r="E35" s="1014">
        <v>0</v>
      </c>
      <c r="F35" s="1014">
        <v>0</v>
      </c>
    </row>
    <row r="36" spans="1:6" ht="12.75">
      <c r="A36" s="876"/>
      <c r="B36" s="876"/>
      <c r="C36" s="872" t="s">
        <v>382</v>
      </c>
      <c r="D36" s="1016"/>
      <c r="E36" s="1016"/>
      <c r="F36" s="1016"/>
    </row>
    <row r="37" spans="1:6" s="590" customFormat="1" ht="25.5">
      <c r="A37" s="890">
        <v>754</v>
      </c>
      <c r="B37" s="890">
        <v>75412</v>
      </c>
      <c r="C37" s="891" t="s">
        <v>308</v>
      </c>
      <c r="D37" s="1015">
        <v>0</v>
      </c>
      <c r="E37" s="1015">
        <v>0</v>
      </c>
      <c r="F37" s="1017">
        <v>40000</v>
      </c>
    </row>
    <row r="38" spans="1:6" ht="12.75">
      <c r="A38" s="874">
        <v>801</v>
      </c>
      <c r="B38" s="874">
        <v>80195</v>
      </c>
      <c r="C38" s="875" t="s">
        <v>145</v>
      </c>
      <c r="D38" s="1014">
        <v>0</v>
      </c>
      <c r="E38" s="1014">
        <v>0</v>
      </c>
      <c r="F38" s="1014">
        <f>UM!G239</f>
        <v>30000</v>
      </c>
    </row>
    <row r="39" spans="1:6" s="590" customFormat="1" ht="12.75" hidden="1">
      <c r="A39" s="346">
        <v>851</v>
      </c>
      <c r="B39" s="346">
        <v>85195</v>
      </c>
      <c r="C39" s="646" t="s">
        <v>383</v>
      </c>
      <c r="D39" s="1015">
        <v>0</v>
      </c>
      <c r="E39" s="1015">
        <v>0</v>
      </c>
      <c r="F39" s="1015">
        <f>UM!G267</f>
        <v>0</v>
      </c>
    </row>
    <row r="40" spans="1:8" s="590" customFormat="1" ht="25.5">
      <c r="A40" s="346">
        <v>851</v>
      </c>
      <c r="B40" s="346">
        <v>85154</v>
      </c>
      <c r="C40" s="646" t="s">
        <v>22</v>
      </c>
      <c r="D40" s="1014">
        <v>0</v>
      </c>
      <c r="E40" s="1014">
        <v>0</v>
      </c>
      <c r="F40" s="1015">
        <v>35000</v>
      </c>
      <c r="H40" s="590">
        <v>-25000</v>
      </c>
    </row>
    <row r="41" spans="1:8" ht="12.75">
      <c r="A41" s="874">
        <v>852</v>
      </c>
      <c r="B41" s="874">
        <v>85295</v>
      </c>
      <c r="C41" s="875" t="s">
        <v>847</v>
      </c>
      <c r="D41" s="1014">
        <v>0</v>
      </c>
      <c r="E41" s="1014">
        <v>0</v>
      </c>
      <c r="F41" s="1014">
        <v>10000</v>
      </c>
      <c r="H41" s="247">
        <v>-5000</v>
      </c>
    </row>
    <row r="42" spans="1:6" ht="25.5">
      <c r="A42" s="874">
        <v>854</v>
      </c>
      <c r="B42" s="874">
        <v>85495</v>
      </c>
      <c r="C42" s="875" t="s">
        <v>21</v>
      </c>
      <c r="D42" s="1014">
        <v>0</v>
      </c>
      <c r="E42" s="1014">
        <v>0</v>
      </c>
      <c r="F42" s="1014">
        <f>UM!G281+UM!G282+UM!G283</f>
        <v>20000</v>
      </c>
    </row>
    <row r="43" spans="1:7" ht="25.5">
      <c r="A43" s="874">
        <v>900</v>
      </c>
      <c r="B43" s="874">
        <v>90095</v>
      </c>
      <c r="C43" s="875" t="s">
        <v>514</v>
      </c>
      <c r="D43" s="1014">
        <v>0</v>
      </c>
      <c r="E43" s="1014">
        <v>0</v>
      </c>
      <c r="F43" s="1014">
        <f>UM!G321</f>
        <v>5000</v>
      </c>
      <c r="G43" s="247" t="s">
        <v>865</v>
      </c>
    </row>
    <row r="44" spans="1:8" ht="12.75">
      <c r="A44" s="874">
        <v>921</v>
      </c>
      <c r="B44" s="874">
        <v>92195</v>
      </c>
      <c r="C44" s="875" t="s">
        <v>644</v>
      </c>
      <c r="D44" s="1014">
        <v>0</v>
      </c>
      <c r="E44" s="1014">
        <v>0</v>
      </c>
      <c r="F44" s="1014">
        <v>15000</v>
      </c>
      <c r="H44" s="247">
        <v>-5000</v>
      </c>
    </row>
    <row r="45" spans="1:8" ht="12.75">
      <c r="A45" s="874">
        <v>926</v>
      </c>
      <c r="B45" s="874">
        <v>92605</v>
      </c>
      <c r="C45" s="875" t="s">
        <v>645</v>
      </c>
      <c r="D45" s="1014">
        <v>0</v>
      </c>
      <c r="E45" s="1014">
        <v>0</v>
      </c>
      <c r="F45" s="1014">
        <v>115000</v>
      </c>
      <c r="H45" s="247">
        <v>-25000</v>
      </c>
    </row>
    <row r="46" spans="1:8" s="490" customFormat="1" ht="25.5" customHeight="1">
      <c r="A46" s="1180" t="s">
        <v>507</v>
      </c>
      <c r="B46" s="1180"/>
      <c r="C46" s="1180"/>
      <c r="D46" s="1018">
        <f>SUM(D32:D45)</f>
        <v>1408000</v>
      </c>
      <c r="E46" s="1018">
        <f>SUM(E32:E45)</f>
        <v>0</v>
      </c>
      <c r="F46" s="1018">
        <f>SUM(F32:F45)</f>
        <v>270000</v>
      </c>
      <c r="H46" s="490">
        <f>SUM(H13:H45)</f>
        <v>-27000</v>
      </c>
    </row>
    <row r="47" spans="1:6" s="490" customFormat="1" ht="25.5" customHeight="1">
      <c r="A47" s="1180" t="s">
        <v>125</v>
      </c>
      <c r="B47" s="1180"/>
      <c r="C47" s="1180"/>
      <c r="D47" s="1018">
        <f>D26+D46</f>
        <v>2594330</v>
      </c>
      <c r="E47" s="1018">
        <f>E26+E46</f>
        <v>0</v>
      </c>
      <c r="F47" s="1018">
        <f>F26+F46</f>
        <v>802880.79</v>
      </c>
    </row>
    <row r="48" s="892" customFormat="1" ht="12.75"/>
    <row r="49" spans="3:4" ht="12.75">
      <c r="C49" s="893" t="s">
        <v>420</v>
      </c>
      <c r="D49" s="893"/>
    </row>
    <row r="50" spans="3:4" ht="12.75">
      <c r="C50" s="894" t="s">
        <v>671</v>
      </c>
      <c r="D50" s="1019">
        <f>F17+F18+F19+F20+F21+F22+F24+F37</f>
        <v>67880.79000000001</v>
      </c>
    </row>
    <row r="51" spans="3:4" ht="12.75">
      <c r="C51" s="895" t="s">
        <v>669</v>
      </c>
      <c r="D51" s="1020">
        <f>D13+D14+D15+F23+F25+D33+D34+D35+F38+F39+F40+F41+F42+F43+F44+F45</f>
        <v>3329330</v>
      </c>
    </row>
    <row r="52" spans="3:4" ht="12.75">
      <c r="C52" s="896" t="s">
        <v>670</v>
      </c>
      <c r="D52" s="1021">
        <f>SUM(D50:D51)</f>
        <v>3397210.79</v>
      </c>
    </row>
  </sheetData>
  <mergeCells count="17">
    <mergeCell ref="A3:F3"/>
    <mergeCell ref="A32:B32"/>
    <mergeCell ref="A12:B12"/>
    <mergeCell ref="C8:C10"/>
    <mergeCell ref="D8:F8"/>
    <mergeCell ref="D9:F9"/>
    <mergeCell ref="A8:A10"/>
    <mergeCell ref="B8:B10"/>
    <mergeCell ref="A26:C26"/>
    <mergeCell ref="D28:F28"/>
    <mergeCell ref="D29:F29"/>
    <mergeCell ref="A6:F6"/>
    <mergeCell ref="A46:C46"/>
    <mergeCell ref="A47:C47"/>
    <mergeCell ref="A28:A30"/>
    <mergeCell ref="B28:B30"/>
    <mergeCell ref="C28:C30"/>
  </mergeCells>
  <printOptions/>
  <pageMargins left="0.7874015748031497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5">
      <selection activeCell="I49" sqref="I49"/>
    </sheetView>
  </sheetViews>
  <sheetFormatPr defaultColWidth="9.33203125" defaultRowHeight="12.75"/>
  <cols>
    <col min="1" max="1" width="20.16015625" style="0" customWidth="1"/>
    <col min="2" max="2" width="15.66015625" style="0" bestFit="1" customWidth="1"/>
    <col min="3" max="3" width="16.83203125" style="0" customWidth="1"/>
    <col min="4" max="4" width="10.5" style="0" bestFit="1" customWidth="1"/>
  </cols>
  <sheetData>
    <row r="1" spans="1:3" ht="12.75">
      <c r="A1" s="1379" t="s">
        <v>824</v>
      </c>
      <c r="B1" s="1379"/>
      <c r="C1" s="1379"/>
    </row>
    <row r="3" ht="12.75">
      <c r="B3" s="641" t="s">
        <v>255</v>
      </c>
    </row>
    <row r="4" spans="1:2" s="64" customFormat="1" ht="12.75">
      <c r="A4" s="658" t="s">
        <v>68</v>
      </c>
      <c r="B4" s="970">
        <f>B5+B6</f>
        <v>58144384.27</v>
      </c>
    </row>
    <row r="5" spans="1:2" s="635" customFormat="1" ht="12.75">
      <c r="A5" s="634" t="s">
        <v>69</v>
      </c>
      <c r="B5" s="971">
        <v>45461087.27</v>
      </c>
    </row>
    <row r="6" spans="1:2" s="635" customFormat="1" ht="12.75">
      <c r="A6" s="634" t="s">
        <v>70</v>
      </c>
      <c r="B6" s="971">
        <v>12683297</v>
      </c>
    </row>
    <row r="8" spans="1:2" ht="12.75" hidden="1">
      <c r="A8" s="162" t="s">
        <v>430</v>
      </c>
      <c r="B8" s="515" t="s">
        <v>255</v>
      </c>
    </row>
    <row r="9" spans="1:2" s="64" customFormat="1" ht="12.75" hidden="1">
      <c r="A9" s="163" t="s">
        <v>825</v>
      </c>
      <c r="B9" s="516">
        <f>UM!G357</f>
        <v>26097480</v>
      </c>
    </row>
    <row r="10" spans="1:2" s="64" customFormat="1" ht="12.75" hidden="1">
      <c r="A10" s="163" t="s">
        <v>826</v>
      </c>
      <c r="B10" s="516" t="e">
        <f>#REF!</f>
        <v>#REF!</v>
      </c>
    </row>
    <row r="11" spans="1:2" s="64" customFormat="1" ht="12.75" hidden="1">
      <c r="A11" s="163" t="s">
        <v>827</v>
      </c>
      <c r="B11" s="516" t="e">
        <f>#REF!</f>
        <v>#REF!</v>
      </c>
    </row>
    <row r="12" spans="1:2" s="64" customFormat="1" ht="12.75" hidden="1">
      <c r="A12" s="163" t="s">
        <v>828</v>
      </c>
      <c r="B12" s="516" t="e">
        <f>#REF!</f>
        <v>#REF!</v>
      </c>
    </row>
    <row r="13" spans="1:2" s="64" customFormat="1" ht="12.75" hidden="1">
      <c r="A13" s="163" t="s">
        <v>829</v>
      </c>
      <c r="B13" s="516" t="e">
        <f>#REF!</f>
        <v>#REF!</v>
      </c>
    </row>
    <row r="14" spans="1:2" s="64" customFormat="1" ht="12.75" hidden="1">
      <c r="A14" s="163" t="s">
        <v>830</v>
      </c>
      <c r="B14" s="516" t="e">
        <f>#REF!</f>
        <v>#REF!</v>
      </c>
    </row>
    <row r="15" spans="1:2" s="65" customFormat="1" ht="12.75" hidden="1">
      <c r="A15" s="656" t="s">
        <v>831</v>
      </c>
      <c r="B15" s="657" t="e">
        <f>SUM(B9:B14)</f>
        <v>#REF!</v>
      </c>
    </row>
    <row r="16" spans="1:2" s="65" customFormat="1" ht="24.75" customHeight="1" hidden="1">
      <c r="A16" s="165" t="s">
        <v>296</v>
      </c>
      <c r="B16" s="517" t="e">
        <f>B4-B15</f>
        <v>#REF!</v>
      </c>
    </row>
    <row r="17" s="64" customFormat="1" ht="12.75"/>
    <row r="18" s="64" customFormat="1" ht="12.75">
      <c r="B18" s="641" t="s">
        <v>255</v>
      </c>
    </row>
    <row r="19" spans="1:2" s="64" customFormat="1" ht="12.75">
      <c r="A19" s="202" t="s">
        <v>67</v>
      </c>
      <c r="B19" s="972">
        <v>43140850</v>
      </c>
    </row>
    <row r="20" spans="1:2" s="64" customFormat="1" ht="12.75">
      <c r="A20" s="202" t="s">
        <v>71</v>
      </c>
      <c r="B20" s="977">
        <f>'TAB_ nr 2a_wyd. majątkowe'!F123</f>
        <v>4579464.29</v>
      </c>
    </row>
    <row r="21" spans="1:2" s="195" customFormat="1" ht="12.75">
      <c r="A21" s="487" t="s">
        <v>425</v>
      </c>
      <c r="B21" s="977">
        <f>SUM(B19:B20)</f>
        <v>47720314.29</v>
      </c>
    </row>
    <row r="22" spans="1:2" s="195" customFormat="1" ht="12.75">
      <c r="A22" s="852"/>
      <c r="B22" s="853"/>
    </row>
    <row r="23" spans="1:2" s="64" customFormat="1" ht="12.75">
      <c r="A23" s="164" t="s">
        <v>855</v>
      </c>
      <c r="B23" s="973">
        <f>'Zał_ nr 1 _przychody i rozchody'!D16</f>
        <v>1043828.52</v>
      </c>
    </row>
    <row r="24" spans="1:2" s="64" customFormat="1" ht="12.75">
      <c r="A24" s="164" t="s">
        <v>832</v>
      </c>
      <c r="B24" s="974">
        <f>'Zał_ nr 1 _przychody i rozchody'!D26</f>
        <v>7400750.68</v>
      </c>
    </row>
    <row r="25" spans="1:3" s="64" customFormat="1" ht="38.25">
      <c r="A25" s="854" t="s">
        <v>833</v>
      </c>
      <c r="B25" s="975">
        <f>B4+B23-B21-B24</f>
        <v>4067147.8200000077</v>
      </c>
      <c r="C25" s="448" t="s">
        <v>231</v>
      </c>
    </row>
    <row r="26" spans="1:2" s="195" customFormat="1" ht="12.75">
      <c r="A26" s="852"/>
      <c r="B26" s="853"/>
    </row>
    <row r="27" spans="1:2" s="195" customFormat="1" ht="12.75">
      <c r="A27" s="852"/>
      <c r="B27" s="853"/>
    </row>
    <row r="28" s="64" customFormat="1" ht="12.75"/>
    <row r="29" s="64" customFormat="1" ht="12.75">
      <c r="A29" s="195" t="s">
        <v>72</v>
      </c>
    </row>
    <row r="30" spans="1:7" s="64" customFormat="1" ht="25.5" customHeight="1">
      <c r="A30" s="1380" t="s">
        <v>75</v>
      </c>
      <c r="B30" s="1380"/>
      <c r="C30" s="1380"/>
      <c r="D30" s="1380"/>
      <c r="E30" s="1380"/>
      <c r="F30" s="1380"/>
      <c r="G30" s="1380"/>
    </row>
    <row r="31" spans="1:7" s="64" customFormat="1" ht="12.75">
      <c r="A31" s="637"/>
      <c r="B31" s="637"/>
      <c r="C31" s="637"/>
      <c r="D31" s="637"/>
      <c r="E31" s="637"/>
      <c r="F31" s="637"/>
      <c r="G31" s="637"/>
    </row>
    <row r="32" spans="2:3" s="64" customFormat="1" ht="12.75">
      <c r="B32" s="641" t="s">
        <v>255</v>
      </c>
      <c r="C32" s="252"/>
    </row>
    <row r="33" spans="1:3" s="195" customFormat="1" ht="12.75">
      <c r="A33" s="850" t="s">
        <v>67</v>
      </c>
      <c r="B33" s="977">
        <f>B19</f>
        <v>43140850</v>
      </c>
      <c r="C33" s="849"/>
    </row>
    <row r="34" spans="1:3" s="195" customFormat="1" ht="12.75">
      <c r="A34" s="850" t="s">
        <v>69</v>
      </c>
      <c r="B34" s="977">
        <f>B5</f>
        <v>45461087.27</v>
      </c>
      <c r="C34" s="849"/>
    </row>
    <row r="35" spans="1:2" s="195" customFormat="1" ht="25.5">
      <c r="A35" s="851" t="s">
        <v>74</v>
      </c>
      <c r="B35" s="977">
        <f>'Zał_ nr 1 _przychody i rozchody'!D24</f>
        <v>1043828.52</v>
      </c>
    </row>
    <row r="36" spans="1:3" s="195" customFormat="1" ht="12.75">
      <c r="A36" s="850" t="s">
        <v>73</v>
      </c>
      <c r="B36" s="976">
        <f>B33-B34-B35</f>
        <v>-3364065.7900000033</v>
      </c>
      <c r="C36" s="855" t="s">
        <v>185</v>
      </c>
    </row>
    <row r="37" s="64" customFormat="1" ht="12.75"/>
    <row r="38" spans="1:3" s="64" customFormat="1" ht="12.75">
      <c r="A38" s="195" t="s">
        <v>78</v>
      </c>
      <c r="B38" s="195"/>
      <c r="C38" s="195"/>
    </row>
    <row r="39" spans="1:3" s="64" customFormat="1" ht="12.75">
      <c r="A39" s="195" t="s">
        <v>187</v>
      </c>
      <c r="B39" s="195"/>
      <c r="C39" s="195"/>
    </row>
    <row r="40" s="64" customFormat="1" ht="12.75">
      <c r="C40" s="641" t="s">
        <v>255</v>
      </c>
    </row>
    <row r="41" spans="1:7" s="64" customFormat="1" ht="25.5">
      <c r="A41" s="633" t="s">
        <v>79</v>
      </c>
      <c r="B41" s="202"/>
      <c r="C41" s="977">
        <v>32775345</v>
      </c>
      <c r="D41" s="1382" t="s">
        <v>234</v>
      </c>
      <c r="E41" s="1383"/>
      <c r="F41" s="1383"/>
      <c r="G41" s="1383"/>
    </row>
    <row r="42" spans="1:3" s="64" customFormat="1" ht="12.75">
      <c r="A42" s="202" t="s">
        <v>76</v>
      </c>
      <c r="B42" s="202"/>
      <c r="C42" s="977">
        <f>B4</f>
        <v>58144384.27</v>
      </c>
    </row>
    <row r="43" spans="1:3" s="195" customFormat="1" ht="12.75">
      <c r="A43" s="487" t="s">
        <v>77</v>
      </c>
      <c r="B43" s="487"/>
      <c r="C43" s="636">
        <f>C41/C42</f>
        <v>0.5636889170208423</v>
      </c>
    </row>
    <row r="44" s="64" customFormat="1" ht="12.75"/>
    <row r="45" s="64" customFormat="1" ht="12.75">
      <c r="A45" s="195" t="s">
        <v>745</v>
      </c>
    </row>
    <row r="46" spans="1:7" s="64" customFormat="1" ht="24.75" customHeight="1">
      <c r="A46" s="1381" t="s">
        <v>186</v>
      </c>
      <c r="B46" s="1381"/>
      <c r="C46" s="1381"/>
      <c r="D46" s="1381"/>
      <c r="E46" s="1381"/>
      <c r="F46" s="1381"/>
      <c r="G46" s="1381"/>
    </row>
    <row r="47" s="64" customFormat="1" ht="12.75">
      <c r="C47" s="641" t="s">
        <v>255</v>
      </c>
    </row>
    <row r="48" spans="1:9" s="64" customFormat="1" ht="105.75" customHeight="1">
      <c r="A48" s="1377" t="s">
        <v>744</v>
      </c>
      <c r="B48" s="1378"/>
      <c r="C48" s="990">
        <v>98152</v>
      </c>
      <c r="D48" s="1384" t="s">
        <v>746</v>
      </c>
      <c r="E48" s="1385"/>
      <c r="F48" s="1385"/>
      <c r="G48" s="1385"/>
      <c r="H48" s="202" t="s">
        <v>100</v>
      </c>
      <c r="I48" s="988">
        <v>77252</v>
      </c>
    </row>
    <row r="49" spans="1:10" s="64" customFormat="1" ht="12.75">
      <c r="A49" s="202" t="s">
        <v>76</v>
      </c>
      <c r="B49" s="202"/>
      <c r="C49" s="977">
        <f>B4</f>
        <v>58144384.27</v>
      </c>
      <c r="H49" s="202" t="s">
        <v>162</v>
      </c>
      <c r="I49" s="988">
        <v>20900</v>
      </c>
      <c r="J49" s="64" t="s">
        <v>101</v>
      </c>
    </row>
    <row r="50" spans="1:9" s="195" customFormat="1" ht="12.75">
      <c r="A50" s="487" t="s">
        <v>77</v>
      </c>
      <c r="B50" s="487"/>
      <c r="C50" s="636">
        <f>C48/C49</f>
        <v>0.0016880735987196997</v>
      </c>
      <c r="H50" s="487"/>
      <c r="I50" s="989">
        <f>SUM(I48:I49)</f>
        <v>98152</v>
      </c>
    </row>
    <row r="51" s="64" customFormat="1" ht="12.75"/>
    <row r="52" s="64" customFormat="1" ht="12.75">
      <c r="A52" s="195" t="s">
        <v>283</v>
      </c>
    </row>
    <row r="53" s="64" customFormat="1" ht="12.75">
      <c r="C53" s="641" t="s">
        <v>255</v>
      </c>
    </row>
    <row r="54" spans="1:6" s="64" customFormat="1" ht="35.25" customHeight="1">
      <c r="A54" s="1377" t="s">
        <v>499</v>
      </c>
      <c r="B54" s="1378"/>
      <c r="C54" s="990">
        <f>B24+1028448</f>
        <v>8429198.68</v>
      </c>
      <c r="E54" s="64" t="s">
        <v>404</v>
      </c>
      <c r="F54" s="85">
        <v>1028448</v>
      </c>
    </row>
    <row r="55" spans="1:3" s="64" customFormat="1" ht="12.75">
      <c r="A55" s="202" t="s">
        <v>76</v>
      </c>
      <c r="B55" s="202"/>
      <c r="C55" s="977">
        <f>B4</f>
        <v>58144384.27</v>
      </c>
    </row>
    <row r="56" spans="1:3" s="64" customFormat="1" ht="12.75">
      <c r="A56" s="487" t="s">
        <v>77</v>
      </c>
      <c r="B56" s="487"/>
      <c r="C56" s="636">
        <f>C54/C55</f>
        <v>0.14497012541844223</v>
      </c>
    </row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12.75"/>
    <row r="70" s="64" customFormat="1" ht="12.75"/>
    <row r="71" s="64" customFormat="1" ht="12.75"/>
    <row r="72" s="64" customFormat="1" ht="12.75"/>
    <row r="73" s="64" customFormat="1" ht="12.75"/>
    <row r="74" s="64" customFormat="1" ht="12.75"/>
    <row r="75" s="64" customFormat="1" ht="12.75"/>
    <row r="76" s="64" customFormat="1" ht="12.75"/>
    <row r="77" s="64" customFormat="1" ht="12.75"/>
    <row r="78" s="64" customFormat="1" ht="12.75"/>
    <row r="79" s="64" customFormat="1" ht="12.75"/>
    <row r="80" s="64" customFormat="1" ht="12.75"/>
    <row r="81" s="64" customFormat="1" ht="12.75"/>
    <row r="82" s="64" customFormat="1" ht="12.75"/>
    <row r="83" s="64" customFormat="1" ht="12.75"/>
    <row r="84" s="64" customFormat="1" ht="12.75"/>
    <row r="85" s="64" customFormat="1" ht="12.75"/>
    <row r="86" s="64" customFormat="1" ht="12.75"/>
    <row r="87" s="64" customFormat="1" ht="12.75"/>
    <row r="88" s="64" customFormat="1" ht="12.75"/>
    <row r="89" s="64" customFormat="1" ht="12.75"/>
    <row r="90" s="64" customFormat="1" ht="12.75"/>
    <row r="91" s="64" customFormat="1" ht="12.75"/>
    <row r="92" s="64" customFormat="1" ht="12.75"/>
    <row r="93" s="64" customFormat="1" ht="12.75"/>
    <row r="94" s="64" customFormat="1" ht="12.75"/>
    <row r="95" s="64" customFormat="1" ht="12.75"/>
    <row r="96" s="64" customFormat="1" ht="12.75"/>
    <row r="97" s="64" customFormat="1" ht="12.75"/>
    <row r="98" s="64" customFormat="1" ht="12.75"/>
    <row r="99" s="64" customFormat="1" ht="12.75"/>
    <row r="100" s="64" customFormat="1" ht="12.75"/>
    <row r="101" s="64" customFormat="1" ht="12.75"/>
    <row r="102" s="64" customFormat="1" ht="12.75"/>
    <row r="103" s="64" customFormat="1" ht="12.75"/>
    <row r="104" s="64" customFormat="1" ht="12.75"/>
    <row r="105" s="64" customFormat="1" ht="12.75"/>
    <row r="106" s="64" customFormat="1" ht="12.75"/>
    <row r="107" s="64" customFormat="1" ht="12.75"/>
    <row r="108" s="64" customFormat="1" ht="12.75"/>
    <row r="109" s="64" customFormat="1" ht="12.75"/>
    <row r="110" s="64" customFormat="1" ht="12.75"/>
    <row r="111" s="64" customFormat="1" ht="12.75"/>
    <row r="112" s="64" customFormat="1" ht="12.75"/>
    <row r="113" s="64" customFormat="1" ht="12.75"/>
    <row r="114" s="64" customFormat="1" ht="12.75"/>
    <row r="115" s="64" customFormat="1" ht="12.75"/>
    <row r="116" s="64" customFormat="1" ht="12.75"/>
    <row r="117" s="64" customFormat="1" ht="12.75"/>
    <row r="118" s="64" customFormat="1" ht="12.75"/>
    <row r="119" s="64" customFormat="1" ht="12.75"/>
    <row r="120" s="64" customFormat="1" ht="12.75"/>
    <row r="121" s="64" customFormat="1" ht="12.75"/>
    <row r="122" s="64" customFormat="1" ht="12.75"/>
    <row r="123" s="64" customFormat="1" ht="12.75"/>
    <row r="124" s="64" customFormat="1" ht="12.75"/>
    <row r="125" s="64" customFormat="1" ht="12.75"/>
    <row r="126" s="64" customFormat="1" ht="12.75"/>
    <row r="127" s="64" customFormat="1" ht="12.75"/>
    <row r="128" s="64" customFormat="1" ht="12.75"/>
    <row r="129" s="64" customFormat="1" ht="12.75"/>
    <row r="130" s="64" customFormat="1" ht="12.75"/>
    <row r="131" s="64" customFormat="1" ht="12.75"/>
    <row r="132" s="64" customFormat="1" ht="12.75"/>
    <row r="133" s="64" customFormat="1" ht="12.75"/>
    <row r="134" s="64" customFormat="1" ht="12.75"/>
    <row r="135" s="64" customFormat="1" ht="12.75"/>
    <row r="136" s="64" customFormat="1" ht="12.75"/>
    <row r="137" s="64" customFormat="1" ht="12.75"/>
    <row r="138" s="64" customFormat="1" ht="12.75"/>
    <row r="139" s="64" customFormat="1" ht="12.75"/>
    <row r="140" s="64" customFormat="1" ht="12.75"/>
    <row r="141" s="64" customFormat="1" ht="12.75"/>
    <row r="142" s="64" customFormat="1" ht="12.75"/>
    <row r="143" s="64" customFormat="1" ht="12.75"/>
    <row r="144" s="64" customFormat="1" ht="12.75"/>
    <row r="145" s="64" customFormat="1" ht="12.75"/>
    <row r="146" s="64" customFormat="1" ht="12.75"/>
    <row r="147" s="64" customFormat="1" ht="12.75"/>
    <row r="148" s="64" customFormat="1" ht="12.75"/>
    <row r="149" s="64" customFormat="1" ht="12.75"/>
    <row r="150" s="64" customFormat="1" ht="12.75"/>
    <row r="151" s="64" customFormat="1" ht="12.75"/>
    <row r="152" s="64" customFormat="1" ht="12.75"/>
  </sheetData>
  <mergeCells count="7">
    <mergeCell ref="A54:B54"/>
    <mergeCell ref="A1:C1"/>
    <mergeCell ref="A30:G30"/>
    <mergeCell ref="A46:G46"/>
    <mergeCell ref="A48:B48"/>
    <mergeCell ref="D41:G41"/>
    <mergeCell ref="D48:G48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D15" sqref="D15"/>
    </sheetView>
  </sheetViews>
  <sheetFormatPr defaultColWidth="9.33203125" defaultRowHeight="12.75"/>
  <cols>
    <col min="1" max="1" width="6" style="734" customWidth="1"/>
    <col min="2" max="2" width="9.5" style="734" customWidth="1"/>
    <col min="3" max="3" width="5.16015625" style="734" customWidth="1"/>
    <col min="4" max="4" width="46.66015625" style="734" customWidth="1"/>
    <col min="5" max="5" width="18.16015625" style="734" customWidth="1"/>
    <col min="6" max="6" width="14.33203125" style="734" customWidth="1"/>
    <col min="7" max="16384" width="9.33203125" style="734" customWidth="1"/>
  </cols>
  <sheetData>
    <row r="1" spans="1:6" s="703" customFormat="1" ht="11.25">
      <c r="A1" s="702"/>
      <c r="B1" s="702"/>
      <c r="C1" s="702"/>
      <c r="D1" s="1389" t="s">
        <v>17</v>
      </c>
      <c r="E1" s="1389"/>
      <c r="F1" s="1389"/>
    </row>
    <row r="2" spans="1:6" s="703" customFormat="1" ht="11.25">
      <c r="A2" s="1390" t="s">
        <v>610</v>
      </c>
      <c r="B2" s="1390"/>
      <c r="C2" s="1390"/>
      <c r="D2" s="1390"/>
      <c r="E2" s="1390"/>
      <c r="F2" s="1390"/>
    </row>
    <row r="3" spans="1:6" s="703" customFormat="1" ht="11.25">
      <c r="A3" s="704"/>
      <c r="B3" s="704"/>
      <c r="C3" s="704"/>
      <c r="D3" s="704"/>
      <c r="E3" s="704"/>
      <c r="F3" s="704"/>
    </row>
    <row r="4" spans="1:6" s="707" customFormat="1" ht="12.75">
      <c r="A4" s="705"/>
      <c r="B4" s="705"/>
      <c r="C4" s="705"/>
      <c r="D4" s="706"/>
      <c r="E4" s="706"/>
      <c r="F4" s="706"/>
    </row>
    <row r="5" spans="1:6" s="707" customFormat="1" ht="12.75">
      <c r="A5" s="1386" t="s">
        <v>599</v>
      </c>
      <c r="B5" s="1386"/>
      <c r="C5" s="1386"/>
      <c r="D5" s="1386"/>
      <c r="E5" s="1386"/>
      <c r="F5" s="1386"/>
    </row>
    <row r="6" spans="1:6" s="707" customFormat="1" ht="12.75">
      <c r="A6" s="1386" t="s">
        <v>600</v>
      </c>
      <c r="B6" s="1386"/>
      <c r="C6" s="1386"/>
      <c r="D6" s="1386"/>
      <c r="E6" s="1386"/>
      <c r="F6" s="1386"/>
    </row>
    <row r="7" spans="1:6" s="707" customFormat="1" ht="12.75">
      <c r="A7" s="1386" t="s">
        <v>609</v>
      </c>
      <c r="B7" s="1386"/>
      <c r="C7" s="1386"/>
      <c r="D7" s="1386"/>
      <c r="E7" s="1386"/>
      <c r="F7" s="1386"/>
    </row>
    <row r="8" spans="1:6" s="707" customFormat="1" ht="12.75">
      <c r="A8" s="1387" t="s">
        <v>601</v>
      </c>
      <c r="B8" s="1387"/>
      <c r="C8" s="1387"/>
      <c r="D8" s="1387"/>
      <c r="E8" s="1387"/>
      <c r="F8" s="1387"/>
    </row>
    <row r="9" spans="1:6" s="707" customFormat="1" ht="12.75">
      <c r="A9" s="708"/>
      <c r="B9" s="708"/>
      <c r="C9" s="708"/>
      <c r="D9" s="708"/>
      <c r="E9" s="708"/>
      <c r="F9" s="708"/>
    </row>
    <row r="10" spans="1:6" s="707" customFormat="1" ht="12.75">
      <c r="A10" s="709"/>
      <c r="B10" s="709"/>
      <c r="C10" s="709"/>
      <c r="D10" s="710"/>
      <c r="E10" s="710"/>
      <c r="F10" s="711" t="s">
        <v>413</v>
      </c>
    </row>
    <row r="11" spans="1:6" s="707" customFormat="1" ht="25.5">
      <c r="A11" s="712" t="s">
        <v>414</v>
      </c>
      <c r="B11" s="712" t="s">
        <v>602</v>
      </c>
      <c r="C11" s="712" t="s">
        <v>417</v>
      </c>
      <c r="D11" s="713" t="s">
        <v>286</v>
      </c>
      <c r="E11" s="713" t="s">
        <v>853</v>
      </c>
      <c r="F11" s="714" t="s">
        <v>603</v>
      </c>
    </row>
    <row r="12" spans="1:6" s="718" customFormat="1" ht="9" customHeight="1">
      <c r="A12" s="715">
        <v>1</v>
      </c>
      <c r="B12" s="715">
        <v>2</v>
      </c>
      <c r="C12" s="715">
        <v>3</v>
      </c>
      <c r="D12" s="716">
        <v>4</v>
      </c>
      <c r="E12" s="716">
        <v>5</v>
      </c>
      <c r="F12" s="717">
        <v>6</v>
      </c>
    </row>
    <row r="13" spans="1:6" s="707" customFormat="1" ht="66.75" customHeight="1">
      <c r="A13" s="720">
        <v>851</v>
      </c>
      <c r="B13" s="720">
        <v>85111</v>
      </c>
      <c r="C13" s="721">
        <v>6300</v>
      </c>
      <c r="D13" s="722" t="s">
        <v>604</v>
      </c>
      <c r="E13" s="719" t="s">
        <v>854</v>
      </c>
      <c r="F13" s="736">
        <f>UM!G242</f>
        <v>10000</v>
      </c>
    </row>
    <row r="14" spans="1:6" s="707" customFormat="1" ht="66.75" customHeight="1">
      <c r="A14" s="346">
        <v>851</v>
      </c>
      <c r="B14" s="346">
        <v>85149</v>
      </c>
      <c r="C14" s="707">
        <v>2710</v>
      </c>
      <c r="D14" s="686" t="s">
        <v>605</v>
      </c>
      <c r="E14" s="735" t="s">
        <v>854</v>
      </c>
      <c r="F14" s="737">
        <f>UM!G246</f>
        <v>5000</v>
      </c>
    </row>
    <row r="15" spans="1:6" s="726" customFormat="1" ht="76.5">
      <c r="A15" s="259">
        <v>921</v>
      </c>
      <c r="B15" s="259">
        <v>92195</v>
      </c>
      <c r="C15" s="259">
        <v>2710</v>
      </c>
      <c r="D15" s="723" t="s">
        <v>606</v>
      </c>
      <c r="E15" s="724" t="s">
        <v>607</v>
      </c>
      <c r="F15" s="725">
        <f>UM!G335</f>
        <v>10000</v>
      </c>
    </row>
    <row r="16" spans="1:6" s="707" customFormat="1" ht="15" customHeight="1">
      <c r="A16" s="1388" t="s">
        <v>608</v>
      </c>
      <c r="B16" s="1388"/>
      <c r="C16" s="1388"/>
      <c r="D16" s="1388"/>
      <c r="E16" s="1388"/>
      <c r="F16" s="727">
        <f>SUM(F13:F15)</f>
        <v>25000</v>
      </c>
    </row>
    <row r="17" s="728" customFormat="1" ht="12.75"/>
    <row r="18" spans="1:6" s="728" customFormat="1" ht="12.75">
      <c r="A18" s="729"/>
      <c r="B18" s="729"/>
      <c r="C18" s="729"/>
      <c r="D18" s="729"/>
      <c r="E18" s="730" t="s">
        <v>420</v>
      </c>
      <c r="F18" s="730"/>
    </row>
    <row r="19" spans="5:6" s="728" customFormat="1" ht="12.75">
      <c r="E19" s="731" t="s">
        <v>71</v>
      </c>
      <c r="F19" s="732">
        <f>F13</f>
        <v>10000</v>
      </c>
    </row>
    <row r="20" spans="5:6" s="728" customFormat="1" ht="12.75">
      <c r="E20" s="730" t="s">
        <v>67</v>
      </c>
      <c r="F20" s="733">
        <f>F14+F15</f>
        <v>15000</v>
      </c>
    </row>
    <row r="21" s="728" customFormat="1" ht="12.75"/>
    <row r="22" s="728" customFormat="1" ht="12.75"/>
    <row r="23" s="728" customFormat="1" ht="12.75"/>
    <row r="24" s="728" customFormat="1" ht="12.75"/>
    <row r="25" s="728" customFormat="1" ht="12.75"/>
    <row r="26" s="728" customFormat="1" ht="12.75"/>
    <row r="27" s="728" customFormat="1" ht="12.75"/>
    <row r="28" s="728" customFormat="1" ht="12.75"/>
    <row r="29" s="728" customFormat="1" ht="12.75"/>
    <row r="30" s="728" customFormat="1" ht="12.75"/>
    <row r="31" s="728" customFormat="1" ht="12.75"/>
    <row r="32" s="728" customFormat="1" ht="12.75"/>
    <row r="33" s="728" customFormat="1" ht="12.75"/>
    <row r="34" s="728" customFormat="1" ht="12.75"/>
    <row r="35" s="728" customFormat="1" ht="12.75"/>
    <row r="36" s="728" customFormat="1" ht="12.75"/>
    <row r="37" s="728" customFormat="1" ht="12.75"/>
    <row r="38" s="728" customFormat="1" ht="12.75"/>
    <row r="39" s="728" customFormat="1" ht="12.75"/>
    <row r="40" s="728" customFormat="1" ht="12.75"/>
    <row r="41" s="728" customFormat="1" ht="12.75"/>
    <row r="42" s="728" customFormat="1" ht="12.75"/>
    <row r="43" s="728" customFormat="1" ht="12.75"/>
    <row r="44" s="728" customFormat="1" ht="12.75"/>
    <row r="45" s="728" customFormat="1" ht="12.75"/>
    <row r="46" s="728" customFormat="1" ht="12.75"/>
    <row r="47" s="728" customFormat="1" ht="12.75"/>
    <row r="48" s="728" customFormat="1" ht="12.75"/>
    <row r="49" s="728" customFormat="1" ht="12.75"/>
    <row r="50" s="728" customFormat="1" ht="12.75"/>
    <row r="51" s="728" customFormat="1" ht="12.75"/>
    <row r="52" s="728" customFormat="1" ht="12.75"/>
    <row r="53" s="728" customFormat="1" ht="12.75"/>
    <row r="54" s="728" customFormat="1" ht="12.75"/>
    <row r="55" s="728" customFormat="1" ht="12.75"/>
    <row r="56" s="728" customFormat="1" ht="12.75"/>
    <row r="57" s="728" customFormat="1" ht="12.75"/>
    <row r="58" s="728" customFormat="1" ht="12.75"/>
    <row r="59" s="728" customFormat="1" ht="12.75"/>
    <row r="60" s="728" customFormat="1" ht="12.75"/>
    <row r="61" s="728" customFormat="1" ht="12.75"/>
    <row r="62" s="728" customFormat="1" ht="12.75"/>
    <row r="63" s="728" customFormat="1" ht="12.75"/>
    <row r="64" s="728" customFormat="1" ht="12.75"/>
    <row r="65" s="728" customFormat="1" ht="12.75"/>
    <row r="66" s="728" customFormat="1" ht="12.75"/>
    <row r="67" s="728" customFormat="1" ht="12.75"/>
    <row r="68" s="728" customFormat="1" ht="12.75"/>
    <row r="69" s="728" customFormat="1" ht="12.75"/>
    <row r="70" s="728" customFormat="1" ht="12.75"/>
    <row r="71" s="728" customFormat="1" ht="12.75"/>
    <row r="72" s="728" customFormat="1" ht="12.75"/>
    <row r="73" s="728" customFormat="1" ht="12.75"/>
    <row r="74" s="728" customFormat="1" ht="12.75"/>
    <row r="75" s="728" customFormat="1" ht="12.75"/>
    <row r="76" s="728" customFormat="1" ht="12.75"/>
    <row r="77" s="728" customFormat="1" ht="12.75"/>
    <row r="78" s="728" customFormat="1" ht="12.75"/>
    <row r="79" s="728" customFormat="1" ht="12.75"/>
    <row r="80" s="728" customFormat="1" ht="12.75"/>
    <row r="81" s="728" customFormat="1" ht="12.75"/>
    <row r="82" s="728" customFormat="1" ht="12.75"/>
    <row r="83" s="728" customFormat="1" ht="12.75"/>
    <row r="84" s="728" customFormat="1" ht="12.75"/>
    <row r="85" s="728" customFormat="1" ht="12.75"/>
    <row r="86" s="728" customFormat="1" ht="12.75"/>
    <row r="87" s="728" customFormat="1" ht="12.75"/>
    <row r="88" s="728" customFormat="1" ht="12.75"/>
    <row r="89" s="728" customFormat="1" ht="12.75"/>
    <row r="90" s="728" customFormat="1" ht="12.75"/>
    <row r="91" s="728" customFormat="1" ht="12.75"/>
    <row r="92" s="728" customFormat="1" ht="12.75"/>
    <row r="93" s="728" customFormat="1" ht="12.75"/>
    <row r="94" s="728" customFormat="1" ht="12.75"/>
    <row r="95" s="728" customFormat="1" ht="12.75"/>
    <row r="96" s="728" customFormat="1" ht="12.75"/>
    <row r="97" s="728" customFormat="1" ht="12.75"/>
    <row r="98" s="728" customFormat="1" ht="12.75"/>
    <row r="99" s="728" customFormat="1" ht="12.75"/>
    <row r="100" s="728" customFormat="1" ht="12.75"/>
    <row r="101" s="728" customFormat="1" ht="12.75"/>
    <row r="102" s="728" customFormat="1" ht="12.75"/>
    <row r="103" s="728" customFormat="1" ht="12.75"/>
    <row r="104" s="728" customFormat="1" ht="12.75"/>
    <row r="105" s="728" customFormat="1" ht="12.75"/>
    <row r="106" s="728" customFormat="1" ht="12.75"/>
    <row r="107" s="728" customFormat="1" ht="12.75"/>
    <row r="108" s="728" customFormat="1" ht="12.75"/>
    <row r="109" s="728" customFormat="1" ht="12.75"/>
    <row r="110" s="728" customFormat="1" ht="12.75"/>
    <row r="111" s="728" customFormat="1" ht="12.75"/>
    <row r="112" s="728" customFormat="1" ht="12.75"/>
    <row r="113" s="728" customFormat="1" ht="12.75"/>
    <row r="114" s="728" customFormat="1" ht="12.75"/>
    <row r="115" s="728" customFormat="1" ht="12.75"/>
    <row r="116" s="728" customFormat="1" ht="12.75"/>
    <row r="117" s="728" customFormat="1" ht="12.75"/>
    <row r="118" s="728" customFormat="1" ht="12.75"/>
    <row r="119" s="728" customFormat="1" ht="12.75"/>
    <row r="120" s="728" customFormat="1" ht="12.75"/>
    <row r="121" s="728" customFormat="1" ht="12.75"/>
    <row r="122" s="728" customFormat="1" ht="12.75"/>
    <row r="123" s="728" customFormat="1" ht="12.75"/>
    <row r="124" s="728" customFormat="1" ht="12.75"/>
    <row r="125" s="728" customFormat="1" ht="12.75"/>
    <row r="126" s="728" customFormat="1" ht="12.75"/>
    <row r="127" s="728" customFormat="1" ht="12.75"/>
    <row r="128" s="728" customFormat="1" ht="12.75"/>
    <row r="129" s="728" customFormat="1" ht="12.75"/>
    <row r="130" s="728" customFormat="1" ht="12.75"/>
    <row r="131" s="728" customFormat="1" ht="12.75"/>
    <row r="132" s="728" customFormat="1" ht="12.75"/>
    <row r="133" s="728" customFormat="1" ht="12.75"/>
    <row r="134" s="728" customFormat="1" ht="12.75"/>
    <row r="135" s="728" customFormat="1" ht="12.75"/>
    <row r="136" s="728" customFormat="1" ht="12.75"/>
    <row r="137" s="728" customFormat="1" ht="12.75"/>
    <row r="138" s="728" customFormat="1" ht="12.75"/>
    <row r="139" s="728" customFormat="1" ht="12.75"/>
    <row r="140" s="728" customFormat="1" ht="12.75"/>
    <row r="141" s="728" customFormat="1" ht="12.75"/>
    <row r="142" s="728" customFormat="1" ht="12.75"/>
    <row r="143" s="728" customFormat="1" ht="12.75"/>
    <row r="144" s="728" customFormat="1" ht="12.75"/>
  </sheetData>
  <mergeCells count="7">
    <mergeCell ref="A7:F7"/>
    <mergeCell ref="A8:F8"/>
    <mergeCell ref="A16:E16"/>
    <mergeCell ref="D1:F1"/>
    <mergeCell ref="A2:F2"/>
    <mergeCell ref="A5:F5"/>
    <mergeCell ref="A6:F6"/>
  </mergeCells>
  <printOptions/>
  <pageMargins left="0.7875" right="0.393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i_zwierzynska</cp:lastModifiedBy>
  <cp:lastPrinted>2011-12-20T09:46:38Z</cp:lastPrinted>
  <dcterms:created xsi:type="dcterms:W3CDTF">2009-09-14T15:02:32Z</dcterms:created>
  <dcterms:modified xsi:type="dcterms:W3CDTF">2012-01-30T11:55:01Z</dcterms:modified>
  <cp:category/>
  <cp:version/>
  <cp:contentType/>
  <cp:contentStatus/>
</cp:coreProperties>
</file>